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In Bearbeitung\FAH Richtlinie Fischereisachverständige\Bewertungsfile\Version 2025\"/>
    </mc:Choice>
  </mc:AlternateContent>
  <xr:revisionPtr revIDLastSave="0" documentId="13_ncr:1_{57803A90-75A8-4009-A3FD-2EF4C8A18B8E}" xr6:coauthVersionLast="47" xr6:coauthVersionMax="47" xr10:uidLastSave="{00000000-0000-0000-0000-000000000000}"/>
  <bookViews>
    <workbookView xWindow="-120" yWindow="-120" windowWidth="19440" windowHeight="13920" activeTab="1" xr2:uid="{00000000-000D-0000-FFFF-FFFF00000000}"/>
  </bookViews>
  <sheets>
    <sheet name="EINGABE" sheetId="8" r:id="rId1"/>
    <sheet name="ANLAGE &amp; BEWERTUNG" sheetId="1" r:id="rId2"/>
    <sheet name="Klassengrenzen" sheetId="2" r:id="rId3"/>
    <sheet name="Qualitativ" sheetId="3" r:id="rId4"/>
    <sheet name="Quantitativ KS" sheetId="5" r:id="rId5"/>
    <sheet name="Quantitativ MS" sheetId="6" r:id="rId6"/>
    <sheet name="Größenbestimmende Fischart" sheetId="7" r:id="rId7"/>
    <sheet name="Größenselektivität" sheetId="15" r:id="rId8"/>
    <sheet name="Indikatorgruppen" sheetId="10" r:id="rId9"/>
    <sheet name="FFH" sheetId="12" r:id="rId10"/>
    <sheet name="Auswahllisten" sheetId="9" r:id="rId11"/>
    <sheet name="Gilden" sheetId="14" r:id="rId12"/>
  </sheets>
  <definedNames>
    <definedName name="_xlnm._FilterDatabase" localSheetId="11" hidden="1">Gilden!$A$1:$K$75</definedName>
    <definedName name="Bautyp_FMH">Auswahllisten!$I$1:$I$11</definedName>
    <definedName name="erfüllt">Auswahllisten!$E$1:$E$3</definedName>
    <definedName name="Fischart">Auswahllisten!$K$1:$K$69</definedName>
    <definedName name="Fischpopulation">EINGABE!$C$3</definedName>
    <definedName name="Fischregion">Auswahllisten!$H$1:$H$10</definedName>
    <definedName name="GBFA">Auswahllisten!$G$1:$G$12</definedName>
    <definedName name="gering">Auswahllisten!$F$1:$F$2</definedName>
    <definedName name="Größenbestimmende_Fischart">Auswahllisten!$G$1:$G$12</definedName>
    <definedName name="janein">Auswahllisten!$B$1:$B$2</definedName>
    <definedName name="Kurzstreckenwanderer">Auswahllisten!$M$1:$M$56</definedName>
    <definedName name="Leitbild">Auswahllisten!$O$1:$O$4</definedName>
    <definedName name="Methode">Auswahllisten!$J$1:$J$4</definedName>
    <definedName name="Mittelstreckenwanderer">Auswahllisten!$N$1:$N$10</definedName>
    <definedName name="nein">EINGABE!$C$65</definedName>
    <definedName name="Plausibilität">Auswahllisten!#REF!</definedName>
    <definedName name="quantitativ_erfüllt">Auswahllisten!$D$1:$D$3</definedName>
    <definedName name="Vorkommen">Auswahllisten!$C$1:$C$3</definedName>
  </definedNames>
  <calcPr calcId="181029"/>
</workbook>
</file>

<file path=xl/calcChain.xml><?xml version="1.0" encoding="utf-8"?>
<calcChain xmlns="http://schemas.openxmlformats.org/spreadsheetml/2006/main">
  <c r="N73" i="8" l="1"/>
  <c r="M73" i="8"/>
  <c r="M72" i="8"/>
  <c r="M71" i="8"/>
  <c r="B45" i="1"/>
  <c r="E3" i="8"/>
  <c r="H47" i="8" l="1"/>
  <c r="H48" i="8"/>
  <c r="E48" i="8" s="1"/>
  <c r="H49" i="8"/>
  <c r="E49" i="8" s="1"/>
  <c r="H50" i="8"/>
  <c r="E50" i="8" s="1"/>
  <c r="H51" i="8"/>
  <c r="E51" i="8" s="1"/>
  <c r="H52" i="8"/>
  <c r="E52" i="8" s="1"/>
  <c r="H46" i="8"/>
  <c r="H10" i="8"/>
  <c r="B54" i="1"/>
  <c r="B53" i="1" l="1"/>
  <c r="B52" i="1"/>
  <c r="D64" i="8"/>
  <c r="D63" i="8"/>
  <c r="D59" i="8"/>
  <c r="D60" i="8"/>
  <c r="I63" i="8" l="1"/>
  <c r="I64" i="8"/>
  <c r="I60" i="8"/>
  <c r="I59" i="8"/>
  <c r="H65" i="8"/>
  <c r="H61" i="8"/>
  <c r="I62" i="8"/>
  <c r="I58" i="8"/>
  <c r="K68" i="8" l="1"/>
  <c r="C33" i="1" s="1"/>
  <c r="B49" i="1" s="1"/>
  <c r="K67" i="8"/>
  <c r="H66" i="8" l="1"/>
  <c r="K66" i="8" s="1"/>
  <c r="N47" i="8"/>
  <c r="N48" i="8"/>
  <c r="N49" i="8"/>
  <c r="N50" i="8"/>
  <c r="N51" i="8"/>
  <c r="N52" i="8"/>
  <c r="N53" i="8"/>
  <c r="N46" i="8"/>
  <c r="N10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11" i="8"/>
  <c r="N69" i="8" l="1"/>
  <c r="C34" i="1"/>
  <c r="B50" i="1" s="1"/>
  <c r="B15" i="1"/>
  <c r="K1" i="8" l="1"/>
  <c r="H53" i="8" l="1"/>
  <c r="E53" i="8" s="1"/>
  <c r="H12" i="8"/>
  <c r="H13" i="8"/>
  <c r="K13" i="8" s="1"/>
  <c r="L13" i="8" s="1"/>
  <c r="M13" i="8" s="1"/>
  <c r="H14" i="8"/>
  <c r="K14" i="8" s="1"/>
  <c r="L14" i="8" s="1"/>
  <c r="M14" i="8" s="1"/>
  <c r="H15" i="8"/>
  <c r="K15" i="8" s="1"/>
  <c r="L15" i="8" s="1"/>
  <c r="M15" i="8" s="1"/>
  <c r="H16" i="8"/>
  <c r="K16" i="8" s="1"/>
  <c r="L16" i="8" s="1"/>
  <c r="M16" i="8" s="1"/>
  <c r="H17" i="8"/>
  <c r="K17" i="8" s="1"/>
  <c r="L17" i="8" s="1"/>
  <c r="M17" i="8" s="1"/>
  <c r="H18" i="8"/>
  <c r="K18" i="8" s="1"/>
  <c r="L18" i="8" s="1"/>
  <c r="M18" i="8" s="1"/>
  <c r="H19" i="8"/>
  <c r="K19" i="8" s="1"/>
  <c r="L19" i="8" s="1"/>
  <c r="M19" i="8" s="1"/>
  <c r="H20" i="8"/>
  <c r="K20" i="8" s="1"/>
  <c r="L20" i="8" s="1"/>
  <c r="M20" i="8" s="1"/>
  <c r="H21" i="8"/>
  <c r="K21" i="8" s="1"/>
  <c r="L21" i="8" s="1"/>
  <c r="M21" i="8" s="1"/>
  <c r="H22" i="8"/>
  <c r="K22" i="8" s="1"/>
  <c r="L22" i="8" s="1"/>
  <c r="M22" i="8" s="1"/>
  <c r="H23" i="8"/>
  <c r="K23" i="8" s="1"/>
  <c r="L23" i="8" s="1"/>
  <c r="M23" i="8" s="1"/>
  <c r="H24" i="8"/>
  <c r="K24" i="8" s="1"/>
  <c r="L24" i="8" s="1"/>
  <c r="M24" i="8" s="1"/>
  <c r="H25" i="8"/>
  <c r="K25" i="8" s="1"/>
  <c r="L25" i="8" s="1"/>
  <c r="M25" i="8" s="1"/>
  <c r="H26" i="8"/>
  <c r="K26" i="8" s="1"/>
  <c r="L26" i="8" s="1"/>
  <c r="M26" i="8" s="1"/>
  <c r="H27" i="8"/>
  <c r="K27" i="8" s="1"/>
  <c r="L27" i="8" s="1"/>
  <c r="M27" i="8" s="1"/>
  <c r="H28" i="8"/>
  <c r="K28" i="8" s="1"/>
  <c r="L28" i="8" s="1"/>
  <c r="M28" i="8" s="1"/>
  <c r="H29" i="8"/>
  <c r="K29" i="8" s="1"/>
  <c r="L29" i="8" s="1"/>
  <c r="M29" i="8" s="1"/>
  <c r="H30" i="8"/>
  <c r="K30" i="8" s="1"/>
  <c r="L30" i="8" s="1"/>
  <c r="M30" i="8" s="1"/>
  <c r="H31" i="8"/>
  <c r="K31" i="8" s="1"/>
  <c r="L31" i="8" s="1"/>
  <c r="M31" i="8" s="1"/>
  <c r="H32" i="8"/>
  <c r="K32" i="8" s="1"/>
  <c r="L32" i="8" s="1"/>
  <c r="M32" i="8" s="1"/>
  <c r="H33" i="8"/>
  <c r="K33" i="8" s="1"/>
  <c r="L33" i="8" s="1"/>
  <c r="M33" i="8" s="1"/>
  <c r="H34" i="8"/>
  <c r="K34" i="8" s="1"/>
  <c r="L34" i="8" s="1"/>
  <c r="M34" i="8" s="1"/>
  <c r="H35" i="8"/>
  <c r="K35" i="8" s="1"/>
  <c r="L35" i="8" s="1"/>
  <c r="M35" i="8" s="1"/>
  <c r="H36" i="8"/>
  <c r="K36" i="8" s="1"/>
  <c r="L36" i="8" s="1"/>
  <c r="M36" i="8" s="1"/>
  <c r="H37" i="8"/>
  <c r="K37" i="8" s="1"/>
  <c r="L37" i="8" s="1"/>
  <c r="M37" i="8" s="1"/>
  <c r="H38" i="8"/>
  <c r="K38" i="8" s="1"/>
  <c r="L38" i="8" s="1"/>
  <c r="M38" i="8" s="1"/>
  <c r="H39" i="8"/>
  <c r="K39" i="8" s="1"/>
  <c r="L39" i="8" s="1"/>
  <c r="M39" i="8" s="1"/>
  <c r="H40" i="8"/>
  <c r="K40" i="8" s="1"/>
  <c r="L40" i="8" s="1"/>
  <c r="M40" i="8" s="1"/>
  <c r="H41" i="8"/>
  <c r="K41" i="8" s="1"/>
  <c r="L41" i="8" s="1"/>
  <c r="M41" i="8" s="1"/>
  <c r="H42" i="8"/>
  <c r="K42" i="8" s="1"/>
  <c r="L42" i="8" s="1"/>
  <c r="M42" i="8" s="1"/>
  <c r="H43" i="8"/>
  <c r="H11" i="8"/>
  <c r="E43" i="8" l="1"/>
  <c r="K43" i="8" s="1"/>
  <c r="L43" i="8" s="1"/>
  <c r="M43" i="8" s="1"/>
  <c r="K49" i="8"/>
  <c r="K50" i="8"/>
  <c r="K51" i="8"/>
  <c r="K52" i="8"/>
  <c r="K53" i="8"/>
  <c r="E15" i="8" l="1"/>
  <c r="E19" i="8"/>
  <c r="E20" i="8"/>
  <c r="E23" i="8"/>
  <c r="E27" i="8"/>
  <c r="E28" i="8"/>
  <c r="E31" i="8"/>
  <c r="E35" i="8"/>
  <c r="E36" i="8"/>
  <c r="E39" i="8"/>
  <c r="E13" i="8"/>
  <c r="E14" i="8"/>
  <c r="E16" i="8"/>
  <c r="E17" i="8"/>
  <c r="E18" i="8"/>
  <c r="E21" i="8"/>
  <c r="E22" i="8"/>
  <c r="E24" i="8"/>
  <c r="E25" i="8"/>
  <c r="E26" i="8"/>
  <c r="E29" i="8"/>
  <c r="E30" i="8"/>
  <c r="E32" i="8"/>
  <c r="E33" i="8"/>
  <c r="E34" i="8"/>
  <c r="E37" i="8"/>
  <c r="E38" i="8"/>
  <c r="E40" i="8"/>
  <c r="E41" i="8"/>
  <c r="E42" i="8"/>
  <c r="B51" i="1" l="1"/>
  <c r="L53" i="8" l="1"/>
  <c r="L49" i="8"/>
  <c r="L50" i="8"/>
  <c r="M50" i="8" s="1"/>
  <c r="L51" i="8"/>
  <c r="L52" i="8"/>
  <c r="I1" i="8"/>
  <c r="M53" i="8" l="1"/>
  <c r="P53" i="8" s="1"/>
  <c r="M51" i="8"/>
  <c r="P51" i="8" s="1"/>
  <c r="P50" i="8"/>
  <c r="M52" i="8"/>
  <c r="P52" i="8" s="1"/>
  <c r="M49" i="8"/>
  <c r="P49" i="8" s="1"/>
  <c r="K37" i="10"/>
  <c r="N76" i="8" l="1"/>
  <c r="C36" i="1" s="1"/>
  <c r="B12" i="1"/>
  <c r="L8" i="8"/>
  <c r="L7" i="8"/>
  <c r="M7" i="8"/>
  <c r="M8" i="8"/>
  <c r="N8" i="8" l="1"/>
  <c r="C30" i="1" s="1"/>
  <c r="I2" i="8"/>
  <c r="E12" i="8" s="1"/>
  <c r="K12" i="8" s="1"/>
  <c r="L12" i="8" s="1"/>
  <c r="M12" i="8" s="1"/>
  <c r="C35" i="1"/>
  <c r="K48" i="8" l="1"/>
  <c r="L48" i="8" s="1"/>
  <c r="E47" i="8"/>
  <c r="K47" i="8" s="1"/>
  <c r="E11" i="8"/>
  <c r="K11" i="8" s="1"/>
  <c r="L11" i="8" s="1"/>
  <c r="M11" i="8" s="1"/>
  <c r="E10" i="8"/>
  <c r="K10" i="8" s="1"/>
  <c r="L10" i="8" s="1"/>
  <c r="M10" i="8" s="1"/>
  <c r="E46" i="8"/>
  <c r="B46" i="1"/>
  <c r="M48" i="8" l="1"/>
  <c r="P48" i="8" s="1"/>
  <c r="K46" i="8"/>
  <c r="L46" i="8" s="1"/>
  <c r="M46" i="8" s="1"/>
  <c r="L47" i="8"/>
  <c r="M47" i="8" s="1"/>
  <c r="M54" i="8" l="1"/>
  <c r="M44" i="8"/>
  <c r="N44" i="8" s="1"/>
  <c r="C31" i="1" s="1"/>
  <c r="P47" i="8"/>
  <c r="B47" i="1" l="1"/>
  <c r="P46" i="8"/>
  <c r="M55" i="8" s="1"/>
  <c r="N55" i="8" s="1"/>
  <c r="C32" i="1" s="1"/>
  <c r="C37" i="1" s="1"/>
  <c r="B48" i="1" l="1"/>
  <c r="C38" i="1"/>
  <c r="C39" i="1" s="1"/>
  <c r="C40" i="1" s="1"/>
  <c r="C41" i="1" s="1"/>
  <c r="C42" i="1" l="1"/>
  <c r="C43" i="1" s="1"/>
</calcChain>
</file>

<file path=xl/sharedStrings.xml><?xml version="1.0" encoding="utf-8"?>
<sst xmlns="http://schemas.openxmlformats.org/spreadsheetml/2006/main" count="965" uniqueCount="450">
  <si>
    <t>Version 2003</t>
  </si>
  <si>
    <t>Indikator</t>
  </si>
  <si>
    <t>Qualitativ</t>
  </si>
  <si>
    <t>Quantitativ-KSW</t>
  </si>
  <si>
    <t>Note</t>
  </si>
  <si>
    <t>Zwischennote</t>
  </si>
  <si>
    <t>voll funktionsfähig</t>
  </si>
  <si>
    <t>funktionsfähig</t>
  </si>
  <si>
    <t>eingeschränkt funktionsfähig</t>
  </si>
  <si>
    <t>Verbal</t>
  </si>
  <si>
    <t>wenig funktionsfähig</t>
  </si>
  <si>
    <t>nicht funktionsfähig</t>
  </si>
  <si>
    <t>Quantitativ-MSW</t>
  </si>
  <si>
    <t>Anhang II Arten gem. FFH-Richtlinie</t>
  </si>
  <si>
    <t>Klasse</t>
  </si>
  <si>
    <t>Grenze</t>
  </si>
  <si>
    <t>Grenze Arten</t>
  </si>
  <si>
    <t>Barbe</t>
  </si>
  <si>
    <t>ja</t>
  </si>
  <si>
    <t>nein</t>
  </si>
  <si>
    <t>Seeforelle</t>
  </si>
  <si>
    <t>Hecht</t>
  </si>
  <si>
    <t>Huchen</t>
  </si>
  <si>
    <t>Wels</t>
  </si>
  <si>
    <t>Äsche</t>
  </si>
  <si>
    <t>Bachforelle</t>
  </si>
  <si>
    <t>Aalrutte</t>
  </si>
  <si>
    <t>Aitel</t>
  </si>
  <si>
    <t>Mairenke</t>
  </si>
  <si>
    <t>Nase</t>
  </si>
  <si>
    <t>keine Angabe</t>
  </si>
  <si>
    <t>Sediment- und sohlbewohnende Arten</t>
  </si>
  <si>
    <t>Schwarmfische</t>
  </si>
  <si>
    <t>erfüllt</t>
  </si>
  <si>
    <t>nicht erfüllt</t>
  </si>
  <si>
    <t>%</t>
  </si>
  <si>
    <t>Epirhithral</t>
  </si>
  <si>
    <t>Metarhithral</t>
  </si>
  <si>
    <t>Schmerlenbach</t>
  </si>
  <si>
    <t>Hyporhithral klein</t>
  </si>
  <si>
    <t>Gründlingsbach</t>
  </si>
  <si>
    <t>Hyporhithral groß</t>
  </si>
  <si>
    <t>Epipotamal klein</t>
  </si>
  <si>
    <t>Epipotamal mittel</t>
  </si>
  <si>
    <t>Epipotamal groß</t>
  </si>
  <si>
    <t>Metapotamal</t>
  </si>
  <si>
    <t>Tümpelpass</t>
  </si>
  <si>
    <t>Beckenpass</t>
  </si>
  <si>
    <t>Schlitzpass</t>
  </si>
  <si>
    <t>Umgehungsgerinne</t>
  </si>
  <si>
    <t>Umgehungsarm</t>
  </si>
  <si>
    <t>Rampe</t>
  </si>
  <si>
    <t>Asymmetrisches Raugerinne</t>
  </si>
  <si>
    <t>Lift/Schleuse</t>
  </si>
  <si>
    <t>Kombination</t>
  </si>
  <si>
    <t>Aal</t>
  </si>
  <si>
    <t>Bachschmerle</t>
  </si>
  <si>
    <t>Bitterling</t>
  </si>
  <si>
    <t>Brachse</t>
  </si>
  <si>
    <t>Donaukaulbarsch</t>
  </si>
  <si>
    <t>Elritze</t>
  </si>
  <si>
    <t>Flussbarsch</t>
  </si>
  <si>
    <t>Frauennerfling</t>
  </si>
  <si>
    <t>Giebel</t>
  </si>
  <si>
    <t>Glattdick</t>
  </si>
  <si>
    <t>Goldsteinbeißer</t>
  </si>
  <si>
    <t>Gründling</t>
  </si>
  <si>
    <t>Güster</t>
  </si>
  <si>
    <t>Hasel</t>
  </si>
  <si>
    <t>Hausen</t>
  </si>
  <si>
    <t>Hundsfisch</t>
  </si>
  <si>
    <t>Karausche</t>
  </si>
  <si>
    <t>Kaulbarsch</t>
  </si>
  <si>
    <t>Kesslergründling</t>
  </si>
  <si>
    <t>Koppe</t>
  </si>
  <si>
    <t>Laube</t>
  </si>
  <si>
    <t>Marmorgrundel</t>
  </si>
  <si>
    <t>Moderlieschen</t>
  </si>
  <si>
    <t>Nerfling</t>
  </si>
  <si>
    <t>Neunauge</t>
  </si>
  <si>
    <t>Perlfisch</t>
  </si>
  <si>
    <t>Renke</t>
  </si>
  <si>
    <t>Rotauge</t>
  </si>
  <si>
    <t>Rotfeder</t>
  </si>
  <si>
    <t>Rußnase</t>
  </si>
  <si>
    <t>Schied</t>
  </si>
  <si>
    <t>Schlammpeitzger</t>
  </si>
  <si>
    <t>Schleie</t>
  </si>
  <si>
    <t>Schneider</t>
  </si>
  <si>
    <t>Schrätzer</t>
  </si>
  <si>
    <t>Seelaube</t>
  </si>
  <si>
    <t>Semling</t>
  </si>
  <si>
    <t>Sichling</t>
  </si>
  <si>
    <t>Steinbeißer</t>
  </si>
  <si>
    <t>Steingreßling</t>
  </si>
  <si>
    <t>Sterlet</t>
  </si>
  <si>
    <t>Sternhausen</t>
  </si>
  <si>
    <t>Streber</t>
  </si>
  <si>
    <t>Strömer</t>
  </si>
  <si>
    <t>Waxdick</t>
  </si>
  <si>
    <t>Weißflossengründling</t>
  </si>
  <si>
    <t>Wildkarpfen</t>
  </si>
  <si>
    <t>Wolgazander</t>
  </si>
  <si>
    <t>Zander</t>
  </si>
  <si>
    <t>Zingel</t>
  </si>
  <si>
    <t>Zobel</t>
  </si>
  <si>
    <t>Zope</t>
  </si>
  <si>
    <t>quantitativ erfüllt</t>
  </si>
  <si>
    <t>Bewertung Fischmigrationshilfe</t>
  </si>
  <si>
    <t>Anlage:</t>
  </si>
  <si>
    <t>Gewässer:</t>
  </si>
  <si>
    <t>Bautyp FMH:</t>
  </si>
  <si>
    <t>Dotation:</t>
  </si>
  <si>
    <t>Reuse Ausstieg</t>
  </si>
  <si>
    <t>Video</t>
  </si>
  <si>
    <t>andere Methode</t>
  </si>
  <si>
    <t>Bearbeiter/Firma:</t>
  </si>
  <si>
    <t>Bemerkungen:</t>
  </si>
  <si>
    <t>Methode Monitoring:</t>
  </si>
  <si>
    <t>Frühjahr:</t>
  </si>
  <si>
    <t>Start Frühjahr:</t>
  </si>
  <si>
    <t>Herbst-/Winter:</t>
  </si>
  <si>
    <t>Start Herbst/Winter:</t>
  </si>
  <si>
    <t>Fischregion:</t>
  </si>
  <si>
    <t>anderer</t>
  </si>
  <si>
    <t>-</t>
  </si>
  <si>
    <t>K.O. Kriterium</t>
  </si>
  <si>
    <t>inaktiv</t>
  </si>
  <si>
    <t>aktiv</t>
  </si>
  <si>
    <t>m</t>
  </si>
  <si>
    <t>Grenze %</t>
  </si>
  <si>
    <t>Mittelwert:</t>
  </si>
  <si>
    <t>Ergebnis</t>
  </si>
  <si>
    <t>Grenze Altersstadien</t>
  </si>
  <si>
    <t>Für Erreichung der Erhaltungsziele nicht ausreichend</t>
  </si>
  <si>
    <t>Befischung(en) Unterwasser:</t>
  </si>
  <si>
    <t>Ende Frühjahr:</t>
  </si>
  <si>
    <t>Ende Herbst/Winter</t>
  </si>
  <si>
    <t>Tage Entleerung</t>
  </si>
  <si>
    <t>Aufstieg</t>
  </si>
  <si>
    <t>Regenbogenforelle</t>
  </si>
  <si>
    <t>Karpfen</t>
  </si>
  <si>
    <t>Bachsaibling</t>
  </si>
  <si>
    <t>Graskarpfen</t>
  </si>
  <si>
    <t>Marmorkarpfen</t>
  </si>
  <si>
    <t>Teil-
note</t>
  </si>
  <si>
    <t>im UW nachgewiesen</t>
  </si>
  <si>
    <t>im UW nicht nachgewiesen</t>
  </si>
  <si>
    <t>Ind./ha exkl. 0+</t>
  </si>
  <si>
    <t>Anteil 0+ [%]</t>
  </si>
  <si>
    <t>Ind./ha inkl. 0+</t>
  </si>
  <si>
    <r>
      <t xml:space="preserve">Mittlere BREITE im Unterwasser:
</t>
    </r>
    <r>
      <rPr>
        <sz val="9"/>
        <rFont val="Arial"/>
        <family val="2"/>
      </rPr>
      <t>Gewässerbettbreite bzw. benetzte Bereite bei MQ</t>
    </r>
  </si>
  <si>
    <t>Indikatorengruppen</t>
  </si>
  <si>
    <t>Der Aufstieg der Indikator-Arten (Summe der Individuen aller dieser Arten) wird nicht in ausreichender Individuenzahl nachgewiesen</t>
  </si>
  <si>
    <t>Schwachschwimmer</t>
  </si>
  <si>
    <t>ER/MR nicht im LB; HR ≥ 5; EP/MP ≥ 10</t>
  </si>
  <si>
    <t>ER/MR ≥ 3; HR ≥ 5; EP/MP ≥ 10</t>
  </si>
  <si>
    <t>Erfordernis nicht erreicht</t>
  </si>
  <si>
    <r>
      <t xml:space="preserve">Kriterium
</t>
    </r>
    <r>
      <rPr>
        <b/>
        <sz val="10"/>
        <rFont val="Arial"/>
        <family val="2"/>
      </rPr>
      <t xml:space="preserve"> </t>
    </r>
  </si>
  <si>
    <t xml:space="preserve">Variable
</t>
  </si>
  <si>
    <t>Fischart im Unterwasser</t>
  </si>
  <si>
    <t>Indikatorgruppe</t>
  </si>
  <si>
    <t>l/s Dotation bzw. Fördermenge</t>
  </si>
  <si>
    <t>l</t>
  </si>
  <si>
    <t>b</t>
  </si>
  <si>
    <t>s</t>
  </si>
  <si>
    <t>Leitbild
l/b/s</t>
  </si>
  <si>
    <t xml:space="preserve">Höchster Leitbildstatus </t>
  </si>
  <si>
    <r>
      <rPr>
        <b/>
        <sz val="10"/>
        <rFont val="Arial"/>
        <family val="2"/>
      </rPr>
      <t xml:space="preserve">Anzahl Fischarten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(Unterwasser + Reuse)</t>
    </r>
  </si>
  <si>
    <r>
      <rPr>
        <b/>
        <sz val="10"/>
        <rFont val="Arial"/>
        <family val="2"/>
      </rPr>
      <t>Anzahl Entwicklungsstadien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(Unterwasser + Reuse)</t>
    </r>
  </si>
  <si>
    <t>Gewichtet:</t>
  </si>
  <si>
    <t>Ind. 
Breite x 10</t>
  </si>
  <si>
    <r>
      <t xml:space="preserve">Indikatorengruppen
</t>
    </r>
    <r>
      <rPr>
        <i/>
        <sz val="10"/>
        <rFont val="Arial"/>
        <family val="2"/>
      </rPr>
      <t>erfüllt wenn die erforderliche Mindestzahl aufgestiegen ist</t>
    </r>
  </si>
  <si>
    <t>Größenbestimmende Fischart
Bemessung FAH: Art / Länge [cm]</t>
  </si>
  <si>
    <r>
      <t xml:space="preserve">Defizite </t>
    </r>
    <r>
      <rPr>
        <sz val="10"/>
        <rFont val="Arial"/>
        <family val="2"/>
      </rPr>
      <t xml:space="preserve">(indiziert durch die </t>
    </r>
  </si>
  <si>
    <t>biologischen Ergebnisse)</t>
  </si>
  <si>
    <t>Arten (taxativ, vollständig)</t>
  </si>
  <si>
    <t>Bewertung nur wenn im UW vorhanden</t>
  </si>
  <si>
    <t>Wanderdistanz</t>
  </si>
  <si>
    <t>Wissenschaftl. Name</t>
  </si>
  <si>
    <t>Abk</t>
  </si>
  <si>
    <t>Nr</t>
  </si>
  <si>
    <t>Sediment-/Sohlgebundene Art</t>
  </si>
  <si>
    <t>Koppe, Bachschmerle, Neunaugen, Goldsteinbeißer, Steinbeißer, Schlammpeitzger, Streber, Schrätzer, Steingressling</t>
  </si>
  <si>
    <t>&lt; 10 cm</t>
  </si>
  <si>
    <t>Schwach-
schwimmer</t>
  </si>
  <si>
    <t>kurz</t>
  </si>
  <si>
    <t>lang</t>
  </si>
  <si>
    <t>Schwarm-
wandernder Großfisch</t>
  </si>
  <si>
    <t>adulte</t>
  </si>
  <si>
    <t>Schwarmfische (großwüchsige)</t>
  </si>
  <si>
    <t>Neunaugen gelten generell als 1 Alterstadium (weil Querder kaum stromauf wandern)</t>
  </si>
  <si>
    <t>FFH Gebiet mit Fisch- oder Neunaugenart(en) 
und Standort mit Schutzgutvorkommen im Unterwasser</t>
  </si>
  <si>
    <t>II</t>
  </si>
  <si>
    <t>rheophil</t>
  </si>
  <si>
    <t>V</t>
  </si>
  <si>
    <t>oligorheophil</t>
  </si>
  <si>
    <t>mittel</t>
  </si>
  <si>
    <t/>
  </si>
  <si>
    <t>indifferent</t>
  </si>
  <si>
    <t>II,V</t>
  </si>
  <si>
    <t>limnophil</t>
  </si>
  <si>
    <t>II,IV</t>
  </si>
  <si>
    <t>Deutscher Name</t>
  </si>
  <si>
    <t>Eu.ma</t>
  </si>
  <si>
    <t>Eudontomyzon mariae</t>
  </si>
  <si>
    <t>La.pl</t>
  </si>
  <si>
    <t>Lampetra planeri</t>
  </si>
  <si>
    <t>Ac.gü</t>
  </si>
  <si>
    <t>Acipenser güldenstädti</t>
  </si>
  <si>
    <t>Ac.nu</t>
  </si>
  <si>
    <t>Acipenser nudiventris</t>
  </si>
  <si>
    <t>Ac.ru</t>
  </si>
  <si>
    <t>Acipenser ruthenus</t>
  </si>
  <si>
    <t>Ac.st</t>
  </si>
  <si>
    <t>Acipenser stellatus</t>
  </si>
  <si>
    <t>Hu.hs</t>
  </si>
  <si>
    <t>Huso huso</t>
  </si>
  <si>
    <t>An.an</t>
  </si>
  <si>
    <t>Anguilla anguilla</t>
  </si>
  <si>
    <t>Hu.hu</t>
  </si>
  <si>
    <t>Hucho hucho</t>
  </si>
  <si>
    <t>On.my</t>
  </si>
  <si>
    <t>Oncorhynchus mykiss</t>
  </si>
  <si>
    <t>Sa.um</t>
  </si>
  <si>
    <t>Salvelinus umbla</t>
  </si>
  <si>
    <t>Sa.fo</t>
  </si>
  <si>
    <t>Salvelinus fontinalis</t>
  </si>
  <si>
    <t>Sa.tr</t>
  </si>
  <si>
    <t>Salmo trutta</t>
  </si>
  <si>
    <t>Co.sp</t>
  </si>
  <si>
    <t>Coregonus sp.</t>
  </si>
  <si>
    <t>Reinanke</t>
  </si>
  <si>
    <t>Th.th</t>
  </si>
  <si>
    <t>Thymallus thymallus</t>
  </si>
  <si>
    <t>Es.lu</t>
  </si>
  <si>
    <t>Esox lucius</t>
  </si>
  <si>
    <t>Um.kr</t>
  </si>
  <si>
    <t>Umbra krameri</t>
  </si>
  <si>
    <t>Ba.bl</t>
  </si>
  <si>
    <t>Ballerus ballerus</t>
  </si>
  <si>
    <t>Bl.bj</t>
  </si>
  <si>
    <t>Blicca bjoerkna</t>
  </si>
  <si>
    <t>Ab.br</t>
  </si>
  <si>
    <t>Abramis brama</t>
  </si>
  <si>
    <t>Ba.sa</t>
  </si>
  <si>
    <t>Ballerus sapa</t>
  </si>
  <si>
    <t>Al.bi</t>
  </si>
  <si>
    <t>Alburnoides bipunctatus</t>
  </si>
  <si>
    <t>Al.al</t>
  </si>
  <si>
    <t>Alburnus alburnus</t>
  </si>
  <si>
    <t>As.as</t>
  </si>
  <si>
    <t>Aspius aspius</t>
  </si>
  <si>
    <t>Ba.ba</t>
  </si>
  <si>
    <t>Barbus barbus</t>
  </si>
  <si>
    <t>Ba.bc</t>
  </si>
  <si>
    <t>Barbus balcanicus</t>
  </si>
  <si>
    <t>Ca.ca</t>
  </si>
  <si>
    <t>Carassius carassius</t>
  </si>
  <si>
    <t>Ca.gi</t>
  </si>
  <si>
    <t>Carassius gibelio</t>
  </si>
  <si>
    <t>Al.me</t>
  </si>
  <si>
    <t>Alburnus mento</t>
  </si>
  <si>
    <t>Ch.na</t>
  </si>
  <si>
    <t>Chondrostoma nasus</t>
  </si>
  <si>
    <t>Cy.ca</t>
  </si>
  <si>
    <t>Cyprinus carpio</t>
  </si>
  <si>
    <t>Ro.vl</t>
  </si>
  <si>
    <t>Romanogobio vladykovi</t>
  </si>
  <si>
    <t>Go.go</t>
  </si>
  <si>
    <t>Gobio gobio</t>
  </si>
  <si>
    <t>Ro.ke</t>
  </si>
  <si>
    <t>Romanogobio kesslerii</t>
  </si>
  <si>
    <t>Ro.ur</t>
  </si>
  <si>
    <t>Romanogobio uranoscopus</t>
  </si>
  <si>
    <t>Steingressling</t>
  </si>
  <si>
    <t>Le.de</t>
  </si>
  <si>
    <t>Leucaspius delineatus</t>
  </si>
  <si>
    <t>Sq.ce</t>
  </si>
  <si>
    <t>Squalius cephalus</t>
  </si>
  <si>
    <t>Le.id</t>
  </si>
  <si>
    <t>Leuciscus idus</t>
  </si>
  <si>
    <t>Le.le</t>
  </si>
  <si>
    <t>Leuciscus leuciscus</t>
  </si>
  <si>
    <t>Te.so</t>
  </si>
  <si>
    <t>Telestes souffia</t>
  </si>
  <si>
    <t>Pe.cu</t>
  </si>
  <si>
    <t>Pelecus cultratus</t>
  </si>
  <si>
    <t>Ph.ph</t>
  </si>
  <si>
    <t>Phoxinus phoxinus</t>
  </si>
  <si>
    <t>Rh.am</t>
  </si>
  <si>
    <t>Rhodeus amarus</t>
  </si>
  <si>
    <t>Ru.me</t>
  </si>
  <si>
    <t>Rutilus meidingeri</t>
  </si>
  <si>
    <t>Ru.vi</t>
  </si>
  <si>
    <t>Rutilus virgo</t>
  </si>
  <si>
    <t>Ru.ru</t>
  </si>
  <si>
    <t>Rutilus rutilus</t>
  </si>
  <si>
    <t>Sc.er</t>
  </si>
  <si>
    <t>Scardinius erythrophthalmus</t>
  </si>
  <si>
    <t>Ti.ti</t>
  </si>
  <si>
    <t>Tinca tinca</t>
  </si>
  <si>
    <t>Vi.vi</t>
  </si>
  <si>
    <t>Vimba vimba</t>
  </si>
  <si>
    <t>Ba.br</t>
  </si>
  <si>
    <t>Barbatula barbatula</t>
  </si>
  <si>
    <t>Sa.ba</t>
  </si>
  <si>
    <t>Sabanejewia balcanica</t>
  </si>
  <si>
    <t>Co.el</t>
  </si>
  <si>
    <t>Cobitis elongatoides</t>
  </si>
  <si>
    <t>Mi.fo</t>
  </si>
  <si>
    <t>Misgurnus fossilis</t>
  </si>
  <si>
    <t>Si.gl</t>
  </si>
  <si>
    <t>Silurus glanis</t>
  </si>
  <si>
    <t>Lo.lo</t>
  </si>
  <si>
    <t>Lota lota</t>
  </si>
  <si>
    <t>Gy.ba</t>
  </si>
  <si>
    <t>Gymnocephalus baloni</t>
  </si>
  <si>
    <t>Gy.ce</t>
  </si>
  <si>
    <t>Gymnocephalus cernuus</t>
  </si>
  <si>
    <t>Gy.sc</t>
  </si>
  <si>
    <t>Gymnocephalus schraetser</t>
  </si>
  <si>
    <t>Pe.fl</t>
  </si>
  <si>
    <t>Perca fluviatilis</t>
  </si>
  <si>
    <t>Sa.lu</t>
  </si>
  <si>
    <t>Sander lucioperca</t>
  </si>
  <si>
    <t>Sa.vo</t>
  </si>
  <si>
    <t>Sander volgensis</t>
  </si>
  <si>
    <t>Zi.st</t>
  </si>
  <si>
    <t>Zingel streber</t>
  </si>
  <si>
    <t>Zi.zi</t>
  </si>
  <si>
    <t>Zingel zingel</t>
  </si>
  <si>
    <t>Co.go</t>
  </si>
  <si>
    <t>Cottus gobio</t>
  </si>
  <si>
    <t>Pr.se</t>
  </si>
  <si>
    <t>Proterorhinus semilunaris</t>
  </si>
  <si>
    <t>Marmorierte Grundel</t>
  </si>
  <si>
    <t>Po.ke</t>
  </si>
  <si>
    <t>Ponticola kessleri</t>
  </si>
  <si>
    <t>Ba.gy</t>
  </si>
  <si>
    <t>Babka gymnotrachaelus</t>
  </si>
  <si>
    <t>Ne.me</t>
  </si>
  <si>
    <t>Neogobius melanostomus</t>
  </si>
  <si>
    <t>Le.gi</t>
  </si>
  <si>
    <t>Lepomis gibbosus</t>
  </si>
  <si>
    <t>Ga.ac</t>
  </si>
  <si>
    <t>Gasterosteus aculeatus</t>
  </si>
  <si>
    <t>Pu.pu</t>
  </si>
  <si>
    <t>Pungitius pungitius</t>
  </si>
  <si>
    <t>Ukrain. Bachneunauge</t>
  </si>
  <si>
    <t>Bachneunauge</t>
  </si>
  <si>
    <r>
      <t>Gilde</t>
    </r>
    <r>
      <rPr>
        <sz val="10"/>
        <rFont val="Arial"/>
        <family val="2"/>
      </rPr>
      <t xml:space="preserve"> 
</t>
    </r>
    <r>
      <rPr>
        <sz val="8"/>
        <rFont val="Arial"/>
        <family val="2"/>
      </rPr>
      <t>(nach Zauner &amp; Eberstaller)</t>
    </r>
  </si>
  <si>
    <t>FFH 
Anhang</t>
  </si>
  <si>
    <t>Ein Aufstieg von Arten, die i.d.R. nicht im Hauptfluss vorkommen (Schlammpeitzger, Hundsfisch), ist nicht nachzuweisen</t>
  </si>
  <si>
    <t>Gesamtnote exkl. FFH</t>
  </si>
  <si>
    <r>
      <t xml:space="preserve">Gewässer über die gesamte Breite befischt:
</t>
    </r>
    <r>
      <rPr>
        <sz val="9"/>
        <rFont val="Arial"/>
        <family val="2"/>
      </rPr>
      <t>(Wat- oder Streifenbefischung inkl. Mitte)</t>
    </r>
  </si>
  <si>
    <r>
      <rPr>
        <i/>
        <sz val="10"/>
        <rFont val="Arial"/>
        <family val="2"/>
      </rPr>
      <t>Nur im HR und Potamal bei Bestand der genannten Arten im UW</t>
    </r>
    <r>
      <rPr>
        <sz val="10"/>
        <rFont val="Arial"/>
        <family val="2"/>
      </rPr>
      <t xml:space="preserve">
Die erforderliche Individuenzahl gilt als erreicht, wenn unter Berücksichtigung des Aufstiegspotentials anhand der Aufstiegszahlen ein Aufstieg von Adultfischschwärmen gutachterlich als nachgewiesen gelten kann. 
Beispiel: </t>
    </r>
    <r>
      <rPr>
        <i/>
        <sz val="10"/>
        <rFont val="Arial"/>
        <family val="2"/>
      </rPr>
      <t>20 adulte Nasen steigen in einem Gewässer mit bestandsbildem Vorkommen an einem Tag auf</t>
    </r>
  </si>
  <si>
    <t>Großwüchsige, im Schwarmverband wandernde Arten: Nase, Barbe, Brachse, Nerfling, Perlfisch</t>
  </si>
  <si>
    <t>Status</t>
  </si>
  <si>
    <r>
      <t xml:space="preserve">Alle Mittelstrecken wandernden Arten, die im Unterwasser nachgeweisen wurden </t>
    </r>
    <r>
      <rPr>
        <i/>
        <sz val="10"/>
        <rFont val="Arial"/>
        <family val="2"/>
      </rPr>
      <t xml:space="preserve">
 wenn nur 1 MSW Art nachgewiesen ist und diese nur anhand von Einzelindividuen, kann die Bewertung inaktiviert werden</t>
    </r>
  </si>
  <si>
    <r>
      <t xml:space="preserve">Abundanz Unterwasser 
</t>
    </r>
    <r>
      <rPr>
        <sz val="12"/>
        <rFont val="Arial"/>
        <family val="2"/>
      </rPr>
      <t>[Ind./ha exkl. 0+]</t>
    </r>
    <r>
      <rPr>
        <b/>
        <sz val="12"/>
        <rFont val="Arial"/>
        <family val="2"/>
      </rPr>
      <t>:</t>
    </r>
  </si>
  <si>
    <r>
      <t xml:space="preserve">Aufstieg gesamt </t>
    </r>
    <r>
      <rPr>
        <sz val="12"/>
        <rFont val="Arial"/>
        <family val="2"/>
      </rPr>
      <t>[Ind.]</t>
    </r>
    <r>
      <rPr>
        <b/>
        <sz val="12"/>
        <rFont val="Arial"/>
        <family val="2"/>
      </rPr>
      <t>:</t>
    </r>
  </si>
  <si>
    <t>Anteil UW</t>
  </si>
  <si>
    <t>Seesaibling</t>
  </si>
  <si>
    <t>0+ Bachforellen in Perlmuschelgewässern sind erforderlich</t>
  </si>
  <si>
    <t>Ind. 
Breite x 20</t>
  </si>
  <si>
    <t>Gesamtnote inkl. FFH</t>
  </si>
  <si>
    <t>Median Noten</t>
  </si>
  <si>
    <t>Bewertung</t>
  </si>
  <si>
    <r>
      <t>Alle Kurzstrecken wandernden Arten, die im Unterwasser nachgewiesen wurden</t>
    </r>
    <r>
      <rPr>
        <i/>
        <sz val="10"/>
        <rFont val="Arial"/>
        <family val="2"/>
      </rPr>
      <t xml:space="preserve">
Nur heimische Arten sowie Regenbogenforelle/Bachsaibling 
</t>
    </r>
    <r>
      <rPr>
        <b/>
        <sz val="10"/>
        <rFont val="Arial"/>
        <family val="2"/>
      </rPr>
      <t>ABUNDANZ [Ind./ha]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Mittelwert der Strecken (ggf. gewichtet) bzw. der Befischungstermine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AUFSTIEG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Individuenzahl Haupt- plus Nebentermin</t>
    </r>
  </si>
  <si>
    <t>stagnophile Arten (Bitterling, Karausche, Rotfeder, Moderlieschen, Schleie, Schlammpeitzger, Hundsfisch) 
sowie juvenile Individuen (excl. 0+) )heimischer, indifferenter Arten &lt; 10 cm (exkl. Elritze)</t>
  </si>
  <si>
    <t>Kesslergrundel</t>
  </si>
  <si>
    <t>Nackthalsgrundel</t>
  </si>
  <si>
    <t>Schwarzmundgrundel</t>
  </si>
  <si>
    <t>Sonnenbarsch</t>
  </si>
  <si>
    <t>Stichling</t>
  </si>
  <si>
    <t>Neunstachliger Stichling</t>
  </si>
  <si>
    <t>so gut wie alle (&gt;90 %) Arten und Entwicklungsstadien (juvenil/adult) können aufsteigen</t>
  </si>
  <si>
    <t>Größenselektivität</t>
  </si>
  <si>
    <t>Ind.</t>
  </si>
  <si>
    <r>
      <t xml:space="preserve">Fischaufstieg QUANTITATIV - Kurzstreckenwanderer
</t>
    </r>
    <r>
      <rPr>
        <sz val="10"/>
        <rFont val="Arial"/>
        <family val="2"/>
      </rPr>
      <t>(* .. Massenaufstieg 
≥ 500 Individuen)</t>
    </r>
  </si>
  <si>
    <r>
      <t xml:space="preserve">Fischaufstieg QUANTITATIV - Mittelstreckenwanderer
</t>
    </r>
    <r>
      <rPr>
        <sz val="10"/>
        <rFont val="Arial"/>
        <family val="2"/>
      </rPr>
      <t>(* .. Massenaufstieg 
≥ 500 Individuen)</t>
    </r>
  </si>
  <si>
    <t>cm</t>
  </si>
  <si>
    <t>Bewertung Größenselektivität</t>
  </si>
  <si>
    <t>Mittelwert der 3 größten Fische im Unterwasser:</t>
  </si>
  <si>
    <t>Mittelwert der 3 größten Fische im Aufstieg:</t>
  </si>
  <si>
    <t>100%</t>
  </si>
  <si>
    <t>1. größter Fisch im Unterwasser</t>
  </si>
  <si>
    <t>2. größter Fisch im Unterwasser</t>
  </si>
  <si>
    <t>3. größter Fisch im Unterwasser</t>
  </si>
  <si>
    <t>1. größter Fisch im Aufstieg</t>
  </si>
  <si>
    <t>2. größter Fisch im Aufstieg</t>
  </si>
  <si>
    <t>3. größter Fisch im Aufstieg</t>
  </si>
  <si>
    <t>Gesamtbewertung</t>
  </si>
  <si>
    <t>S =</t>
  </si>
  <si>
    <t>Aufstieg größenbestimmende Fischart</t>
  </si>
  <si>
    <t>ausblenden</t>
  </si>
  <si>
    <t>Sicherheit der Bewertung</t>
  </si>
  <si>
    <t>Befischung(en) FMH:</t>
  </si>
  <si>
    <t>Fischart</t>
  </si>
  <si>
    <t>nicht nachgewiesen</t>
  </si>
  <si>
    <r>
      <t>Der erfolgreiche, freiwillige Ein- und Durchstieg mehrerer Individuen (</t>
    </r>
    <r>
      <rPr>
        <sz val="10"/>
        <rFont val="Arial"/>
        <family val="2"/>
      </rPr>
      <t xml:space="preserve">≥ </t>
    </r>
    <r>
      <rPr>
        <sz val="10"/>
        <rFont val="Arial"/>
        <family val="2"/>
      </rPr>
      <t>2) zumindest der Länge der „größenbestimmenden Fischart“ wird nachgewiesen.</t>
    </r>
  </si>
  <si>
    <r>
      <t>Der erfolgreiche, freiwillige Ein- und Durchstieg zumindest eines Individuums (≥ 1</t>
    </r>
    <r>
      <rPr>
        <sz val="10"/>
        <rFont val="Arial"/>
        <family val="2"/>
      </rPr>
      <t>) mit zumindest 95% der Länge der „größenbestimmenden Fischart“ wird nachgewiesen.</t>
    </r>
  </si>
  <si>
    <t>nicht vergeben</t>
  </si>
  <si>
    <t>Die mittlere Länge der drei längsten Fische im Aufstieg überschreitet die mittlere Länge der drei längsten Fische im Unterwasser oder unterschreitet sie um weniger als 5%, Größenselektivität S ≥ 0,95</t>
  </si>
  <si>
    <t>Die mittlere Länge der drei längsten Fische im Aufstieg unterschreitet die mittlere Länge der drei längsten Fische im Unterwasser um weniger als 15%, Größenselektivität S ≥ 0,85</t>
  </si>
  <si>
    <t>Die mittlere Länge der drei längsten Fische im Aufstieg unterschreitet die mittlere Länge der drei längsten Fische im Unterwasser um weniger als 25%, Größenselektivität S ≥ 0,75</t>
  </si>
  <si>
    <t>Die mittlere Länge der drei längsten Fische im Aufstieg unterschreitet die mittlere Länge der drei längsten Fische im Unterwasser um mehr als 25%, Größenselektivität S &lt; 0,75</t>
  </si>
  <si>
    <t>Indikatorgruppen sind nur dann zu berücksichtigen, wenn die erforderliche Mindestanzahl auch im UW nachgewiesen wurde (Summe der Individuen aller Arten der Gruppe im Realfang)</t>
  </si>
  <si>
    <t>Erforderliche Mindest - Individuenzahl 
(Summe der Ind. aller Arten der Gruppe)*</t>
  </si>
  <si>
    <t>Für jeder FFH-Art spezifisch abzuhandeln, bzw. für sehr gut vergleichbarer Arten ("Surrogat-Arten", siehe Richtlinie)</t>
  </si>
  <si>
    <t>Ausreichender Aufstieg der vorkommenden Anhang II Art(en) 
bzw. sehr gut vergleichbarer Arten ("Surrogat-Arten", siehe Richtlinie)</t>
  </si>
  <si>
    <r>
      <t xml:space="preserve">Fauna Flora Habitat Richtlinie
</t>
    </r>
    <r>
      <rPr>
        <i/>
        <sz val="10"/>
        <rFont val="Arial"/>
        <family val="2"/>
      </rPr>
      <t>Bewertung 
in FFH-Gebieten</t>
    </r>
  </si>
  <si>
    <t>Zum Kopieren in ein Textfile: Feld A1 bis Feld N77 auswählen</t>
  </si>
  <si>
    <r>
      <t xml:space="preserve">Fischpopulation im Betrachtungsabschnitt:
</t>
    </r>
    <r>
      <rPr>
        <sz val="9"/>
        <rFont val="Arial"/>
        <family val="2"/>
      </rPr>
      <t>Einer Leitart, typischen Begleitart oder "häufigen Fischart", exkl. 0+</t>
    </r>
  </si>
  <si>
    <t>Korrekturfaktor bei Befischung nicht über die gesamte Breite (Erhebung der ufernahen Abundanz)</t>
  </si>
  <si>
    <t>Aufstiegspotential</t>
  </si>
  <si>
    <t>kommt ausreichend vor</t>
  </si>
  <si>
    <t>&lt; 100</t>
  </si>
  <si>
    <t>≥ 100</t>
  </si>
  <si>
    <t>kommt nicht ausreichend vor</t>
  </si>
  <si>
    <t>alle Arten mit Ausnahme einiger seltener (&gt;70%) und fast alle
Entwicklungsstadien (&gt;70%) können aufsteigen</t>
  </si>
  <si>
    <t>die meisten Arten und Entwicklungsstadien (&gt;50%) können aufsteigen</t>
  </si>
  <si>
    <t>nur wenige Arten und/oder Entwicklungsstadien (&lt;= 50%) können aufsteigen</t>
  </si>
  <si>
    <t>keine oder nur einzelne Arten und/oder Entwicklungsstadien (&lt;25%) können aufsteigen</t>
  </si>
  <si>
    <t>* häufige Arten inkl. aller weiterer vorkommenden Leitarten und typ. Begleitarten</t>
  </si>
  <si>
    <t>&gt; 100% des Bestands der 20-fachen Gewässerbreite ist der Aufstieg möglich*</t>
  </si>
  <si>
    <t>&gt; 50% des Bestands der 20-fachen Gewässerbreite ist der Aufstieg möglich*</t>
  </si>
  <si>
    <t>&gt; 33% des Bestands der 20-fachen Gewässerbreite ist der Aufstieg möglich*</t>
  </si>
  <si>
    <t>&gt; 17% des Bestands der 20-fachen Gewässerbreite ist der Aufstieg möglich*</t>
  </si>
  <si>
    <t>≤ 17% des Bestands der 20-fachen Gewässerbreite ist der Aufstieg möglich*</t>
  </si>
  <si>
    <t>&gt; 100% des Bestands der 10-fachen Gewässerbreite ist der Aufstieg möglich*</t>
  </si>
  <si>
    <t>&gt; 50% des Bestands der 10-fachen Gewässerbreite ist der Aufstieg möglich*</t>
  </si>
  <si>
    <t>&gt; 33% des Bestands der 10-fachen Gewässerbreite ist der Aufstieg möglich*</t>
  </si>
  <si>
    <t>&gt; 17% des Bestands der 10-fachen Gewässerbreite ist der Aufstieg möglich*</t>
  </si>
  <si>
    <t>≤ 17% des Bestands der 10-fachen Gewässerbreite ist der Aufstieg möglich*</t>
  </si>
  <si>
    <t>Eignng Größen-bestimmende Fischart 
und 
Größenselektivität</t>
  </si>
  <si>
    <t>Bewertung Eignung 
größenbestimmende Fischart</t>
  </si>
  <si>
    <t>&lt;0,75</t>
  </si>
  <si>
    <r>
      <t xml:space="preserve">Fischaufstieg QUALITATIV 
</t>
    </r>
    <r>
      <rPr>
        <i/>
        <sz val="10"/>
        <rFont val="Arial"/>
        <family val="2"/>
      </rPr>
      <t>Nur heimischen Arten
sowie Regenbogen-forelle/Bachsaibling</t>
    </r>
  </si>
  <si>
    <t>entsprechend Richtlinie 1/2003 i.d.F. 2025 (Woschitz et al. 2025)</t>
  </si>
  <si>
    <t>Individuen = Aufstiegszahl über der jedenfalls mit 2 bewertet wird ("Massenaufstieg")</t>
  </si>
  <si>
    <t>RL 2025</t>
  </si>
  <si>
    <r>
      <t>Für Erreichung der Erhaltungsziele ausreichend</t>
    </r>
    <r>
      <rPr>
        <i/>
        <sz val="10"/>
        <rFont val="Arial"/>
        <family val="2"/>
      </rPr>
      <t xml:space="preserve">
Richtwerte: Aufstiegszahlen für den quantitativen Fischaufstieg der konkreten Art (KSW oder MSW) werden erfüllt 
(Ausnahme: Neunaugen)
Und: Mehrere Altersstadien können aufsteigen 
(Ausnahme: Neunaugen - ein Alterstadium reicht)</t>
    </r>
  </si>
  <si>
    <t>Romanogobio skywalkeri</t>
  </si>
  <si>
    <t>Smaragdgressling</t>
  </si>
  <si>
    <t>Modifizierter Denilpass</t>
  </si>
  <si>
    <t>Fischaufstiegsschnecke</t>
  </si>
  <si>
    <t>Zum Kopieren in ein Textfile: Feld A1 bis C55 auswählen</t>
  </si>
  <si>
    <t>Version 2, Jänner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</si>
</sst>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6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wrapText="1"/>
    </xf>
    <xf numFmtId="0" fontId="0" fillId="0" borderId="11" xfId="0" applyBorder="1"/>
    <xf numFmtId="0" fontId="1" fillId="0" borderId="10" xfId="0" applyFont="1" applyBorder="1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center"/>
    </xf>
    <xf numFmtId="0" fontId="4" fillId="0" borderId="0" xfId="0" applyFont="1"/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6" xfId="0" applyFont="1" applyBorder="1"/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164" fontId="0" fillId="0" borderId="6" xfId="0" applyNumberFormat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3" borderId="1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0" fontId="4" fillId="3" borderId="0" xfId="0" applyFont="1" applyFill="1" applyAlignment="1" applyProtection="1">
      <alignment wrapText="1"/>
      <protection locked="0"/>
    </xf>
    <xf numFmtId="1" fontId="0" fillId="3" borderId="0" xfId="0" applyNumberFormat="1" applyFill="1" applyProtection="1">
      <protection locked="0"/>
    </xf>
    <xf numFmtId="0" fontId="0" fillId="3" borderId="6" xfId="0" applyFill="1" applyBorder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4" fillId="3" borderId="9" xfId="0" applyFont="1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1" fillId="4" borderId="11" xfId="0" applyFont="1" applyFill="1" applyBorder="1"/>
    <xf numFmtId="0" fontId="4" fillId="4" borderId="2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164" fontId="0" fillId="0" borderId="0" xfId="0" applyNumberFormat="1"/>
    <xf numFmtId="0" fontId="0" fillId="3" borderId="11" xfId="0" applyFill="1" applyBorder="1" applyAlignment="1" applyProtection="1">
      <alignment wrapText="1"/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4" fillId="0" borderId="5" xfId="0" applyFont="1" applyBorder="1" applyAlignment="1">
      <alignment wrapText="1"/>
    </xf>
    <xf numFmtId="0" fontId="4" fillId="3" borderId="11" xfId="0" applyFont="1" applyFill="1" applyBorder="1" applyAlignment="1" applyProtection="1">
      <alignment wrapText="1"/>
      <protection locked="0"/>
    </xf>
    <xf numFmtId="0" fontId="4" fillId="0" borderId="14" xfId="0" applyFont="1" applyBorder="1" applyAlignment="1">
      <alignment wrapText="1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3" borderId="7" xfId="0" applyFont="1" applyFill="1" applyBorder="1" applyAlignment="1" applyProtection="1">
      <alignment wrapText="1"/>
      <protection locked="0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8" xfId="0" applyBorder="1"/>
    <xf numFmtId="0" fontId="11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wrapText="1"/>
    </xf>
    <xf numFmtId="1" fontId="0" fillId="3" borderId="10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3" borderId="0" xfId="0" applyFont="1" applyFill="1" applyAlignment="1" applyProtection="1">
      <alignment horizontal="right"/>
      <protection locked="0"/>
    </xf>
    <xf numFmtId="0" fontId="8" fillId="3" borderId="9" xfId="0" applyFont="1" applyFill="1" applyBorder="1" applyProtection="1">
      <protection locked="0"/>
    </xf>
    <xf numFmtId="0" fontId="8" fillId="0" borderId="9" xfId="0" applyFont="1" applyBorder="1"/>
    <xf numFmtId="1" fontId="8" fillId="0" borderId="10" xfId="0" applyNumberFormat="1" applyFont="1" applyBorder="1"/>
    <xf numFmtId="1" fontId="8" fillId="0" borderId="6" xfId="0" applyNumberFormat="1" applyFont="1" applyBorder="1"/>
    <xf numFmtId="0" fontId="8" fillId="3" borderId="7" xfId="0" applyFont="1" applyFill="1" applyBorder="1" applyAlignment="1" applyProtection="1">
      <alignment horizontal="right"/>
      <protection locked="0"/>
    </xf>
    <xf numFmtId="0" fontId="4" fillId="0" borderId="12" xfId="0" applyFont="1" applyBorder="1" applyAlignment="1">
      <alignment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Protection="1">
      <protection locked="0"/>
    </xf>
    <xf numFmtId="0" fontId="4" fillId="0" borderId="13" xfId="0" applyFont="1" applyBorder="1" applyAlignment="1">
      <alignment wrapText="1"/>
    </xf>
    <xf numFmtId="0" fontId="1" fillId="3" borderId="14" xfId="0" applyFont="1" applyFill="1" applyBorder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1" fontId="1" fillId="0" borderId="2" xfId="0" applyNumberFormat="1" applyFont="1" applyBorder="1"/>
    <xf numFmtId="0" fontId="4" fillId="0" borderId="9" xfId="0" applyFont="1" applyBorder="1" applyAlignment="1">
      <alignment horizontal="right"/>
    </xf>
    <xf numFmtId="0" fontId="4" fillId="0" borderId="0" xfId="0" applyFont="1" applyProtection="1">
      <protection locked="0"/>
    </xf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1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3" borderId="1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1" fillId="0" borderId="13" xfId="0" applyNumberFormat="1" applyFont="1" applyBorder="1"/>
    <xf numFmtId="0" fontId="0" fillId="3" borderId="13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left"/>
    </xf>
    <xf numFmtId="1" fontId="4" fillId="0" borderId="6" xfId="0" applyNumberFormat="1" applyFont="1" applyBorder="1" applyAlignment="1">
      <alignment horizontal="left" wrapText="1"/>
    </xf>
    <xf numFmtId="0" fontId="1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1" fillId="0" borderId="9" xfId="0" applyNumberFormat="1" applyFont="1" applyBorder="1" applyAlignment="1">
      <alignment horizontal="right" wrapText="1"/>
    </xf>
    <xf numFmtId="1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0" fillId="0" borderId="11" xfId="0" applyNumberFormat="1" applyBorder="1" applyAlignment="1">
      <alignment horizontal="center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1" fontId="0" fillId="0" borderId="2" xfId="0" applyNumberFormat="1" applyBorder="1"/>
    <xf numFmtId="0" fontId="0" fillId="0" borderId="3" xfId="0" applyBorder="1"/>
    <xf numFmtId="1" fontId="4" fillId="0" borderId="12" xfId="0" applyNumberFormat="1" applyFont="1" applyBorder="1" applyAlignment="1">
      <alignment horizontal="left" wrapText="1"/>
    </xf>
    <xf numFmtId="0" fontId="10" fillId="0" borderId="7" xfId="0" applyFont="1" applyBorder="1"/>
    <xf numFmtId="9" fontId="4" fillId="0" borderId="10" xfId="0" quotePrefix="1" applyNumberFormat="1" applyFont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9" fontId="0" fillId="0" borderId="12" xfId="0" applyNumberFormat="1" applyBorder="1" applyAlignment="1">
      <alignment horizontal="right" wrapText="1"/>
    </xf>
    <xf numFmtId="164" fontId="0" fillId="3" borderId="11" xfId="0" applyNumberFormat="1" applyFill="1" applyBorder="1" applyProtection="1">
      <protection locked="0"/>
    </xf>
    <xf numFmtId="164" fontId="0" fillId="3" borderId="0" xfId="0" applyNumberFormat="1" applyFill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0" borderId="10" xfId="0" applyNumberFormat="1" applyBorder="1"/>
    <xf numFmtId="164" fontId="0" fillId="0" borderId="6" xfId="0" applyNumberFormat="1" applyBorder="1"/>
    <xf numFmtId="1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2" fontId="4" fillId="0" borderId="0" xfId="0" applyNumberFormat="1" applyFont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1" xfId="0" applyFont="1" applyBorder="1" applyAlignment="1" applyProtection="1">
      <alignment horizontal="right" wrapText="1"/>
      <protection locked="0"/>
    </xf>
    <xf numFmtId="0" fontId="8" fillId="0" borderId="9" xfId="0" applyFont="1" applyBorder="1" applyAlignment="1" applyProtection="1">
      <alignment horizontal="right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7" xfId="0" applyFill="1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1" fillId="2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" fontId="0" fillId="0" borderId="3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222">
    <dxf>
      <fill>
        <patternFill>
          <bgColor rgb="FFFFFF0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8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indexed="48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indexed="48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indexed="48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"/>
  <sheetViews>
    <sheetView topLeftCell="A11" workbookViewId="0">
      <selection activeCell="C64" sqref="C64"/>
    </sheetView>
  </sheetViews>
  <sheetFormatPr baseColWidth="10" defaultRowHeight="12.75" x14ac:dyDescent="0.2"/>
  <cols>
    <col min="1" max="1" width="25.28515625" customWidth="1"/>
    <col min="2" max="2" width="30.7109375" customWidth="1"/>
    <col min="3" max="3" width="19.5703125" customWidth="1"/>
    <col min="4" max="4" width="8.140625" bestFit="1" customWidth="1"/>
    <col min="5" max="5" width="8.140625" customWidth="1"/>
    <col min="6" max="6" width="7.85546875" customWidth="1"/>
    <col min="7" max="7" width="8.5703125" bestFit="1" customWidth="1"/>
    <col min="8" max="8" width="8.7109375" customWidth="1"/>
    <col min="9" max="9" width="10.140625" bestFit="1" customWidth="1"/>
    <col min="10" max="10" width="1.7109375" customWidth="1"/>
    <col min="11" max="11" width="10.28515625" customWidth="1"/>
    <col min="12" max="14" width="6.7109375" customWidth="1"/>
    <col min="15" max="15" width="1.7109375" customWidth="1"/>
    <col min="16" max="16" width="9.7109375" style="71" bestFit="1" customWidth="1"/>
    <col min="17" max="21" width="11.42578125" style="71"/>
  </cols>
  <sheetData>
    <row r="1" spans="1:26" ht="31.5" customHeight="1" x14ac:dyDescent="0.25">
      <c r="A1" s="178" t="s">
        <v>151</v>
      </c>
      <c r="B1" s="179"/>
      <c r="C1" s="84">
        <v>0</v>
      </c>
      <c r="D1" s="85" t="s">
        <v>129</v>
      </c>
      <c r="E1" s="202" t="s">
        <v>361</v>
      </c>
      <c r="F1" s="202"/>
      <c r="G1" s="202"/>
      <c r="H1" s="202"/>
      <c r="I1" s="86">
        <f>SUM(I10:I44,I46:I55)</f>
        <v>0</v>
      </c>
      <c r="K1" s="150" t="str">
        <f>'ANLAGE &amp; BEWERTUNG'!A3</f>
        <v>Version 2, Jänner 2026</v>
      </c>
      <c r="L1" s="151"/>
      <c r="M1" s="151"/>
      <c r="N1" s="152"/>
      <c r="P1" s="147" t="s">
        <v>413</v>
      </c>
      <c r="V1" s="71"/>
      <c r="W1" s="71"/>
      <c r="X1" s="71"/>
      <c r="Y1" s="71"/>
      <c r="Z1" s="71"/>
    </row>
    <row r="2" spans="1:26" ht="31.5" customHeight="1" x14ac:dyDescent="0.25">
      <c r="A2" s="199" t="s">
        <v>355</v>
      </c>
      <c r="B2" s="200"/>
      <c r="C2" s="83" t="s">
        <v>18</v>
      </c>
      <c r="D2" s="16"/>
      <c r="E2" s="201" t="s">
        <v>360</v>
      </c>
      <c r="F2" s="201"/>
      <c r="G2" s="201"/>
      <c r="H2" s="201"/>
      <c r="I2" s="87">
        <f>SUM(H10:H44,H46:H55)</f>
        <v>0</v>
      </c>
      <c r="K2" s="153"/>
      <c r="L2" s="154"/>
      <c r="M2" s="154"/>
      <c r="N2" s="155"/>
      <c r="P2" s="97"/>
      <c r="V2" s="71"/>
      <c r="W2" s="71"/>
      <c r="X2" s="71"/>
      <c r="Y2" s="71"/>
      <c r="Z2" s="71"/>
    </row>
    <row r="3" spans="1:26" ht="31.5" customHeight="1" x14ac:dyDescent="0.25">
      <c r="A3" s="203" t="s">
        <v>414</v>
      </c>
      <c r="B3" s="204"/>
      <c r="C3" s="88" t="s">
        <v>419</v>
      </c>
      <c r="D3" s="136" t="s">
        <v>379</v>
      </c>
      <c r="E3" s="207" t="str">
        <f>IF(Fischpopulation="≥ 100","Mindestbestandsgröße für 
sichere Bewertung überschritten","Mindestbestandsgröße für 
sichere Bewertung unterschritten")</f>
        <v>Mindestbestandsgröße für 
sichere Bewertung überschritten</v>
      </c>
      <c r="F3" s="207"/>
      <c r="G3" s="207"/>
      <c r="H3" s="207"/>
      <c r="I3" s="208"/>
      <c r="K3" s="156"/>
      <c r="L3" s="157"/>
      <c r="M3" s="157"/>
      <c r="N3" s="158"/>
      <c r="P3" s="97"/>
      <c r="V3" s="71"/>
      <c r="W3" s="71"/>
      <c r="X3" s="71"/>
      <c r="Y3" s="71"/>
      <c r="Z3" s="71"/>
    </row>
    <row r="4" spans="1:26" ht="9.9499999999999993" customHeight="1" x14ac:dyDescent="0.2">
      <c r="V4" s="71"/>
      <c r="W4" s="71"/>
      <c r="X4" s="71"/>
      <c r="Y4" s="71"/>
      <c r="Z4" s="71"/>
    </row>
    <row r="5" spans="1:26" ht="31.5" x14ac:dyDescent="0.25">
      <c r="A5" s="79" t="s">
        <v>158</v>
      </c>
      <c r="B5" s="80" t="s">
        <v>159</v>
      </c>
      <c r="C5" s="81" t="s">
        <v>399</v>
      </c>
      <c r="D5" s="187" t="s">
        <v>358</v>
      </c>
      <c r="E5" s="189"/>
      <c r="F5" s="187" t="s">
        <v>416</v>
      </c>
      <c r="G5" s="188"/>
      <c r="H5" s="189"/>
      <c r="I5" s="82" t="s">
        <v>139</v>
      </c>
      <c r="J5" s="14"/>
      <c r="K5" s="183" t="s">
        <v>132</v>
      </c>
      <c r="L5" s="184"/>
      <c r="M5" s="22" t="s">
        <v>145</v>
      </c>
      <c r="N5" s="23" t="s">
        <v>4</v>
      </c>
      <c r="V5" s="71"/>
      <c r="W5" s="71"/>
      <c r="X5" s="71"/>
      <c r="Y5" s="71"/>
      <c r="Z5" s="71"/>
    </row>
    <row r="6" spans="1:26" x14ac:dyDescent="0.2">
      <c r="A6" s="176"/>
      <c r="B6" s="176"/>
      <c r="C6" s="176"/>
      <c r="D6" s="176"/>
      <c r="E6" s="176"/>
      <c r="F6" s="176"/>
      <c r="G6" s="176"/>
      <c r="H6" s="176"/>
      <c r="I6" s="177"/>
      <c r="K6" s="3"/>
      <c r="L6" s="26" t="s">
        <v>35</v>
      </c>
      <c r="N6" s="7"/>
      <c r="V6" s="71"/>
      <c r="W6" s="71"/>
      <c r="X6" s="71"/>
      <c r="Y6" s="71"/>
      <c r="Z6" s="71"/>
    </row>
    <row r="7" spans="1:26" ht="25.5" x14ac:dyDescent="0.2">
      <c r="A7" s="185" t="s">
        <v>439</v>
      </c>
      <c r="B7" s="17" t="s">
        <v>168</v>
      </c>
      <c r="C7" s="9"/>
      <c r="D7" s="9"/>
      <c r="E7" s="9"/>
      <c r="F7" s="190">
        <v>1</v>
      </c>
      <c r="G7" s="191"/>
      <c r="H7" s="192"/>
      <c r="I7" s="34">
        <v>1</v>
      </c>
      <c r="K7" s="12"/>
      <c r="L7" s="120">
        <f>I7/F7*100</f>
        <v>100</v>
      </c>
      <c r="M7" s="121">
        <f>IF(I7&gt;F7*Qualitativ!$C$2,1,IF(I7&gt;F7*Qualitativ!$C$3,2,IF(I7&gt;F7*Qualitativ!$C$4,3,IF(I7&gt;F7*Qualitativ!$C$5,4,IF(I7&gt;F7*Qualitativ!$C$6,5,"Fehler")))))</f>
        <v>1</v>
      </c>
      <c r="N7" s="10"/>
      <c r="V7" s="71"/>
      <c r="W7" s="71"/>
      <c r="X7" s="71"/>
      <c r="Y7" s="71"/>
      <c r="Z7" s="71"/>
    </row>
    <row r="8" spans="1:26" ht="25.5" x14ac:dyDescent="0.2">
      <c r="A8" s="186"/>
      <c r="B8" s="18" t="s">
        <v>169</v>
      </c>
      <c r="C8" s="8"/>
      <c r="D8" s="8"/>
      <c r="E8" s="8"/>
      <c r="F8" s="193">
        <v>1</v>
      </c>
      <c r="G8" s="194"/>
      <c r="H8" s="195"/>
      <c r="I8" s="35">
        <v>1</v>
      </c>
      <c r="K8" s="3"/>
      <c r="L8" s="122">
        <f>I8/F8*100</f>
        <v>100</v>
      </c>
      <c r="M8" s="26">
        <f>IF(I8&gt;F8*Qualitativ!$D$2,1,IF(I8&gt;F8*Qualitativ!$D$3,2,IF(I8&gt;F8*Qualitativ!$D$4,3,IF(I8&gt;F8*Qualitativ!$D$5,4,IF(I8&gt;F8*Qualitativ!$D$6,5,"Fehler")))))</f>
        <v>1</v>
      </c>
      <c r="N8" s="123">
        <f>IF(OR(M7="Fehler",M8="Fehler"),5,MAX(M7:M8))</f>
        <v>1</v>
      </c>
      <c r="V8" s="71"/>
      <c r="W8" s="71"/>
      <c r="X8" s="71"/>
      <c r="Y8" s="71"/>
      <c r="Z8" s="71"/>
    </row>
    <row r="9" spans="1:26" ht="25.5" x14ac:dyDescent="0.2">
      <c r="B9" s="11"/>
      <c r="C9" s="6" t="s">
        <v>160</v>
      </c>
      <c r="D9" s="6" t="s">
        <v>166</v>
      </c>
      <c r="E9" s="54" t="s">
        <v>362</v>
      </c>
      <c r="F9" s="29" t="s">
        <v>150</v>
      </c>
      <c r="G9" s="6" t="s">
        <v>149</v>
      </c>
      <c r="H9" s="30" t="s">
        <v>148</v>
      </c>
      <c r="I9" s="4" t="s">
        <v>139</v>
      </c>
      <c r="K9" s="124" t="s">
        <v>171</v>
      </c>
      <c r="L9" s="125" t="s">
        <v>35</v>
      </c>
      <c r="M9" s="125"/>
      <c r="N9" s="126"/>
      <c r="V9" s="71"/>
      <c r="W9" s="71"/>
      <c r="X9" s="71"/>
      <c r="Y9" s="71"/>
      <c r="Z9" s="71"/>
    </row>
    <row r="10" spans="1:26" ht="12.75" customHeight="1" x14ac:dyDescent="0.2">
      <c r="A10" s="185" t="s">
        <v>380</v>
      </c>
      <c r="B10" s="180" t="s">
        <v>369</v>
      </c>
      <c r="C10" s="51" t="s">
        <v>25</v>
      </c>
      <c r="D10" s="36" t="s">
        <v>163</v>
      </c>
      <c r="E10" s="62" t="str">
        <f>IF(OR(C10="",H10=""),"",IF(ISNUMBER(SEARCH("rhithral",'ANLAGE &amp; BEWERTUNG'!$B$6)),IF(H10&gt;$I$2/100*3,"häufig","selten"),IF(OR(ISNUMBER(SEARCH("potamal",'ANLAGE &amp; BEWERTUNG'!$B$6)),ISNUMBER(SEARCH("bach",'ANLAGE &amp; BEWERTUNG'!$B$6))),IF(H10&gt;$I$2/100*1,"häufig","selten"),"Region?")))</f>
        <v>selten</v>
      </c>
      <c r="F10" s="140">
        <v>0</v>
      </c>
      <c r="G10" s="37">
        <v>0</v>
      </c>
      <c r="H10" s="143">
        <f>IF(G10="","",IF(OR(F10=0,G10=100),0,F10*(100-G10)/100))</f>
        <v>0</v>
      </c>
      <c r="I10" s="69">
        <v>0</v>
      </c>
      <c r="K10" s="127">
        <f>IF(H10="","",IF(OR(D10="l",D10="b",E10="häufig"),IF($C$2="ja",H10/10000*$C$1^2*10,H10/10000*$C$1^2*10*'Quantitativ KS'!$A$12),""))</f>
        <v>0</v>
      </c>
      <c r="L10" s="122" t="str">
        <f>IF(K10=0,"",IF(K10&lt;&gt;"",I10/K10*100,""))</f>
        <v/>
      </c>
      <c r="M10" s="26" t="str">
        <f>IF(L10&lt;&gt;"",IF(L10&gt;'Quantitativ KS'!$C$2,1,IF(OR(I10&gt;='Quantitativ KS'!$A$10,L10&gt;'Quantitativ KS'!$C$3),2,IF(L10&gt;'Quantitativ KS'!$C$4,3,IF(L10&gt;'Quantitativ KS'!$C$5,4,IF(L10&gt;='Quantitativ KS'!$C$6,5,"Fehler"))))),"")</f>
        <v/>
      </c>
      <c r="N10" s="7" t="str">
        <f>IF(I10&gt;='Quantitativ KS'!$A$10,"*","")</f>
        <v/>
      </c>
      <c r="V10" s="71"/>
      <c r="W10" s="71"/>
      <c r="X10" s="71"/>
      <c r="Y10" s="71"/>
      <c r="Z10" s="71"/>
    </row>
    <row r="11" spans="1:26" x14ac:dyDescent="0.2">
      <c r="A11" s="196"/>
      <c r="B11" s="181"/>
      <c r="C11" s="52"/>
      <c r="D11" s="38"/>
      <c r="E11" s="63" t="str">
        <f>IF(OR(C11="",H11=""),"",IF(ISNUMBER(SEARCH("rhithral",'ANLAGE &amp; BEWERTUNG'!$B$6)),IF(H11&gt;$I$2/100*3,"häufig","selten"),IF(OR(ISNUMBER(SEARCH("potamal",'ANLAGE &amp; BEWERTUNG'!$B$6)),ISNUMBER(SEARCH("bach",'ANLAGE &amp; BEWERTUNG'!$B$6))),IF(H11&gt;$I$2/100*1,"häufig","selten"),"Region?")))</f>
        <v/>
      </c>
      <c r="F11" s="141"/>
      <c r="G11" s="39"/>
      <c r="H11" s="144" t="str">
        <f>IF(G11="","",IF(OR(F11=0,G11=100),0,F11*(100-G11)/100))</f>
        <v/>
      </c>
      <c r="I11" s="70"/>
      <c r="K11" s="127" t="str">
        <f>IF(H11="","",IF(OR(D11="l",D11="b",E11="häufig"),IF($C$2="ja",H11/10000*$C$1^2*10,H11/10000*$C$1^2*10*'Quantitativ KS'!$A$12),""))</f>
        <v/>
      </c>
      <c r="L11" s="122" t="str">
        <f>IF(K11=0,"",IF(K11&lt;&gt;"",I11/K11*100,""))</f>
        <v/>
      </c>
      <c r="M11" s="26" t="str">
        <f>IF(L11&lt;&gt;"",IF(L11&gt;'Quantitativ KS'!$C$2,1,IF(OR(I11&gt;='Quantitativ KS'!$A$10,L11&gt;'Quantitativ KS'!$C$3),2,IF(L11&gt;'Quantitativ KS'!$C$4,3,IF(L11&gt;'Quantitativ KS'!$C$5,4,IF(L11&gt;='Quantitativ KS'!$C$6,5,"Fehler"))))),"")</f>
        <v/>
      </c>
      <c r="N11" s="7" t="str">
        <f>IF(I11&gt;='Quantitativ KS'!$A$10,"*","")</f>
        <v/>
      </c>
      <c r="V11" s="71"/>
      <c r="W11" s="71"/>
      <c r="X11" s="71"/>
      <c r="Y11" s="71"/>
      <c r="Z11" s="71"/>
    </row>
    <row r="12" spans="1:26" x14ac:dyDescent="0.2">
      <c r="A12" s="196"/>
      <c r="B12" s="181"/>
      <c r="C12" s="52"/>
      <c r="D12" s="38"/>
      <c r="E12" s="63" t="str">
        <f>IF(OR(C12="",H12=""),"",IF(ISNUMBER(SEARCH("rhithral",'ANLAGE &amp; BEWERTUNG'!$B$6)),IF(H12&gt;$I$2/100*3,"häufig","selten"),IF(OR(ISNUMBER(SEARCH("potamal",'ANLAGE &amp; BEWERTUNG'!$B$6)),ISNUMBER(SEARCH("bach",'ANLAGE &amp; BEWERTUNG'!$B$6))),IF(H12&gt;$I$2/100*1,"häufig","selten"),"Region?")))</f>
        <v/>
      </c>
      <c r="F12" s="142"/>
      <c r="G12" s="39"/>
      <c r="H12" s="144" t="str">
        <f t="shared" ref="H12:H43" si="0">IF(G12="","",IF(OR(F12=0,G12=100),0,F12*(100-G12)/100))</f>
        <v/>
      </c>
      <c r="I12" s="70"/>
      <c r="K12" s="127" t="str">
        <f>IF(H12="","",IF(OR(D12="l",D12="b",E12="häufig"),IF($C$2="ja",H12/10000*$C$1^2*10,H12/10000*$C$1^2*10*'Quantitativ KS'!$A$12),""))</f>
        <v/>
      </c>
      <c r="L12" s="122" t="str">
        <f t="shared" ref="L12:L43" si="1">IF(K12=0,"",IF(K12&lt;&gt;"",I12/K12*100,""))</f>
        <v/>
      </c>
      <c r="M12" s="26" t="str">
        <f>IF(L12&lt;&gt;"",IF(L12&gt;'Quantitativ KS'!$C$2,1,IF(OR(I12&gt;='Quantitativ KS'!$A$10,L12&gt;'Quantitativ KS'!$C$3),2,IF(L12&gt;'Quantitativ KS'!$C$4,3,IF(L12&gt;'Quantitativ KS'!$C$5,4,IF(L12&gt;='Quantitativ KS'!$C$6,5,"Fehler"))))),"")</f>
        <v/>
      </c>
      <c r="N12" s="7" t="str">
        <f>IF(I12&gt;='Quantitativ KS'!$A$10,"*","")</f>
        <v/>
      </c>
      <c r="V12" s="71"/>
      <c r="W12" s="71"/>
      <c r="X12" s="71"/>
      <c r="Y12" s="71"/>
      <c r="Z12" s="71"/>
    </row>
    <row r="13" spans="1:26" x14ac:dyDescent="0.2">
      <c r="A13" s="196"/>
      <c r="B13" s="181"/>
      <c r="C13" s="52"/>
      <c r="D13" s="38"/>
      <c r="E13" s="63" t="str">
        <f>IF(OR(C13="",H13=""),"",IF(ISNUMBER(SEARCH("rhithral",'ANLAGE &amp; BEWERTUNG'!$B$6)),IF(H13&gt;$I$2/100*3,"häufig","selten"),IF(OR(ISNUMBER(SEARCH("potamal",'ANLAGE &amp; BEWERTUNG'!$B$6)),ISNUMBER(SEARCH("bach",'ANLAGE &amp; BEWERTUNG'!$B$6))),IF(H13&gt;$I$2/100*1,"häufig","selten"),"Region?")))</f>
        <v/>
      </c>
      <c r="F13" s="142"/>
      <c r="G13" s="39"/>
      <c r="H13" s="144" t="str">
        <f t="shared" si="0"/>
        <v/>
      </c>
      <c r="I13" s="70"/>
      <c r="K13" s="127" t="str">
        <f>IF(H13="","",IF(OR(D13="l",D13="b",E13="häufig"),IF($C$2="ja",H13/10000*$C$1^2*10,H13/10000*$C$1^2*10*'Quantitativ KS'!$A$12),""))</f>
        <v/>
      </c>
      <c r="L13" s="122" t="str">
        <f t="shared" si="1"/>
        <v/>
      </c>
      <c r="M13" s="26" t="str">
        <f>IF(L13&lt;&gt;"",IF(L13&gt;'Quantitativ KS'!$C$2,1,IF(OR(I13&gt;='Quantitativ KS'!$A$10,L13&gt;'Quantitativ KS'!$C$3),2,IF(L13&gt;'Quantitativ KS'!$C$4,3,IF(L13&gt;'Quantitativ KS'!$C$5,4,IF(L13&gt;='Quantitativ KS'!$C$6,5,"Fehler"))))),"")</f>
        <v/>
      </c>
      <c r="N13" s="7" t="str">
        <f>IF(I13&gt;='Quantitativ KS'!$A$10,"*","")</f>
        <v/>
      </c>
      <c r="V13" s="71"/>
      <c r="W13" s="71"/>
      <c r="X13" s="71"/>
      <c r="Y13" s="71"/>
      <c r="Z13" s="71"/>
    </row>
    <row r="14" spans="1:26" x14ac:dyDescent="0.2">
      <c r="A14" s="196"/>
      <c r="B14" s="181"/>
      <c r="C14" s="52"/>
      <c r="D14" s="38"/>
      <c r="E14" s="63" t="str">
        <f>IF(OR(C14="",H14=""),"",IF(ISNUMBER(SEARCH("rhithral",'ANLAGE &amp; BEWERTUNG'!$B$6)),IF(H14&gt;$I$2/100*3,"häufig","selten"),IF(OR(ISNUMBER(SEARCH("potamal",'ANLAGE &amp; BEWERTUNG'!$B$6)),ISNUMBER(SEARCH("bach",'ANLAGE &amp; BEWERTUNG'!$B$6))),IF(H14&gt;$I$2/100*1,"häufig","selten"),"Region?")))</f>
        <v/>
      </c>
      <c r="F14" s="142"/>
      <c r="G14" s="39"/>
      <c r="H14" s="144" t="str">
        <f t="shared" si="0"/>
        <v/>
      </c>
      <c r="I14" s="70"/>
      <c r="K14" s="127" t="str">
        <f>IF(H14="","",IF(OR(D14="l",D14="b",E14="häufig"),IF($C$2="ja",H14/10000*$C$1^2*10,H14/10000*$C$1^2*10*'Quantitativ KS'!$A$12),""))</f>
        <v/>
      </c>
      <c r="L14" s="122" t="str">
        <f t="shared" si="1"/>
        <v/>
      </c>
      <c r="M14" s="26" t="str">
        <f>IF(L14&lt;&gt;"",IF(L14&gt;'Quantitativ KS'!$C$2,1,IF(OR(I14&gt;='Quantitativ KS'!$A$10,L14&gt;'Quantitativ KS'!$C$3),2,IF(L14&gt;'Quantitativ KS'!$C$4,3,IF(L14&gt;'Quantitativ KS'!$C$5,4,IF(L14&gt;='Quantitativ KS'!$C$6,5,"Fehler"))))),"")</f>
        <v/>
      </c>
      <c r="N14" s="7" t="str">
        <f>IF(I14&gt;='Quantitativ KS'!$A$10,"*","")</f>
        <v/>
      </c>
      <c r="V14" s="71"/>
      <c r="W14" s="71"/>
      <c r="X14" s="71"/>
      <c r="Y14" s="71"/>
      <c r="Z14" s="71"/>
    </row>
    <row r="15" spans="1:26" x14ac:dyDescent="0.2">
      <c r="A15" s="196"/>
      <c r="B15" s="181"/>
      <c r="C15" s="52"/>
      <c r="D15" s="38"/>
      <c r="E15" s="63" t="str">
        <f>IF(OR(C15="",H15=""),"",IF(ISNUMBER(SEARCH("rhithral",'ANLAGE &amp; BEWERTUNG'!$B$6)),IF(H15&gt;$I$2/100*3,"häufig","selten"),IF(OR(ISNUMBER(SEARCH("potamal",'ANLAGE &amp; BEWERTUNG'!$B$6)),ISNUMBER(SEARCH("bach",'ANLAGE &amp; BEWERTUNG'!$B$6))),IF(H15&gt;$I$2/100*1,"häufig","selten"),"Region?")))</f>
        <v/>
      </c>
      <c r="F15" s="142"/>
      <c r="G15" s="39"/>
      <c r="H15" s="144" t="str">
        <f t="shared" si="0"/>
        <v/>
      </c>
      <c r="I15" s="70"/>
      <c r="K15" s="127" t="str">
        <f>IF(H15="","",IF(OR(D15="l",D15="b",E15="häufig"),IF($C$2="ja",H15/10000*$C$1^2*10,H15/10000*$C$1^2*10*'Quantitativ KS'!$A$12),""))</f>
        <v/>
      </c>
      <c r="L15" s="122" t="str">
        <f t="shared" si="1"/>
        <v/>
      </c>
      <c r="M15" s="26" t="str">
        <f>IF(L15&lt;&gt;"",IF(L15&gt;'Quantitativ KS'!$C$2,1,IF(OR(I15&gt;='Quantitativ KS'!$A$10,L15&gt;'Quantitativ KS'!$C$3),2,IF(L15&gt;'Quantitativ KS'!$C$4,3,IF(L15&gt;'Quantitativ KS'!$C$5,4,IF(L15&gt;='Quantitativ KS'!$C$6,5,"Fehler"))))),"")</f>
        <v/>
      </c>
      <c r="N15" s="7" t="str">
        <f>IF(I15&gt;='Quantitativ KS'!$A$10,"*","")</f>
        <v/>
      </c>
      <c r="V15" s="71"/>
      <c r="W15" s="71"/>
      <c r="X15" s="71"/>
      <c r="Y15" s="71"/>
      <c r="Z15" s="71"/>
    </row>
    <row r="16" spans="1:26" x14ac:dyDescent="0.2">
      <c r="A16" s="196"/>
      <c r="B16" s="181"/>
      <c r="C16" s="52"/>
      <c r="D16" s="38"/>
      <c r="E16" s="63" t="str">
        <f>IF(OR(C16="",H16=""),"",IF(ISNUMBER(SEARCH("rhithral",'ANLAGE &amp; BEWERTUNG'!$B$6)),IF(H16&gt;$I$2/100*3,"häufig","selten"),IF(OR(ISNUMBER(SEARCH("potamal",'ANLAGE &amp; BEWERTUNG'!$B$6)),ISNUMBER(SEARCH("bach",'ANLAGE &amp; BEWERTUNG'!$B$6))),IF(H16&gt;$I$2/100*1,"häufig","selten"),"Region?")))</f>
        <v/>
      </c>
      <c r="F16" s="142"/>
      <c r="G16" s="39"/>
      <c r="H16" s="144" t="str">
        <f t="shared" si="0"/>
        <v/>
      </c>
      <c r="I16" s="70"/>
      <c r="K16" s="127" t="str">
        <f>IF(H16="","",IF(OR(D16="l",D16="b",E16="häufig"),IF($C$2="ja",H16/10000*$C$1^2*10,H16/10000*$C$1^2*10*'Quantitativ KS'!$A$12),""))</f>
        <v/>
      </c>
      <c r="L16" s="122" t="str">
        <f t="shared" si="1"/>
        <v/>
      </c>
      <c r="M16" s="26" t="str">
        <f>IF(L16&lt;&gt;"",IF(L16&gt;'Quantitativ KS'!$C$2,1,IF(OR(I16&gt;='Quantitativ KS'!$A$10,L16&gt;'Quantitativ KS'!$C$3),2,IF(L16&gt;'Quantitativ KS'!$C$4,3,IF(L16&gt;'Quantitativ KS'!$C$5,4,IF(L16&gt;='Quantitativ KS'!$C$6,5,"Fehler"))))),"")</f>
        <v/>
      </c>
      <c r="N16" s="7" t="str">
        <f>IF(I16&gt;='Quantitativ KS'!$A$10,"*","")</f>
        <v/>
      </c>
      <c r="V16" s="71"/>
      <c r="W16" s="71"/>
      <c r="X16" s="71"/>
      <c r="Y16" s="71"/>
      <c r="Z16" s="71"/>
    </row>
    <row r="17" spans="1:26" x14ac:dyDescent="0.2">
      <c r="A17" s="196"/>
      <c r="B17" s="181"/>
      <c r="C17" s="52"/>
      <c r="D17" s="38"/>
      <c r="E17" s="63" t="str">
        <f>IF(OR(C17="",H17=""),"",IF(ISNUMBER(SEARCH("rhithral",'ANLAGE &amp; BEWERTUNG'!$B$6)),IF(H17&gt;$I$2/100*3,"häufig","selten"),IF(OR(ISNUMBER(SEARCH("potamal",'ANLAGE &amp; BEWERTUNG'!$B$6)),ISNUMBER(SEARCH("bach",'ANLAGE &amp; BEWERTUNG'!$B$6))),IF(H17&gt;$I$2/100*1,"häufig","selten"),"Region?")))</f>
        <v/>
      </c>
      <c r="F17" s="142"/>
      <c r="G17" s="39"/>
      <c r="H17" s="144" t="str">
        <f t="shared" si="0"/>
        <v/>
      </c>
      <c r="I17" s="70"/>
      <c r="K17" s="127" t="str">
        <f>IF(H17="","",IF(OR(D17="l",D17="b",E17="häufig"),IF($C$2="ja",H17/10000*$C$1^2*10,H17/10000*$C$1^2*10*'Quantitativ KS'!$A$12),""))</f>
        <v/>
      </c>
      <c r="L17" s="122" t="str">
        <f t="shared" si="1"/>
        <v/>
      </c>
      <c r="M17" s="26" t="str">
        <f>IF(L17&lt;&gt;"",IF(L17&gt;'Quantitativ KS'!$C$2,1,IF(OR(I17&gt;='Quantitativ KS'!$A$10,L17&gt;'Quantitativ KS'!$C$3),2,IF(L17&gt;'Quantitativ KS'!$C$4,3,IF(L17&gt;'Quantitativ KS'!$C$5,4,IF(L17&gt;='Quantitativ KS'!$C$6,5,"Fehler"))))),"")</f>
        <v/>
      </c>
      <c r="N17" s="7" t="str">
        <f>IF(I17&gt;='Quantitativ KS'!$A$10,"*","")</f>
        <v/>
      </c>
      <c r="V17" s="71"/>
      <c r="W17" s="71"/>
      <c r="X17" s="71"/>
      <c r="Y17" s="71"/>
      <c r="Z17" s="71"/>
    </row>
    <row r="18" spans="1:26" x14ac:dyDescent="0.2">
      <c r="A18" s="196"/>
      <c r="B18" s="181"/>
      <c r="C18" s="52"/>
      <c r="D18" s="38"/>
      <c r="E18" s="63" t="str">
        <f>IF(OR(C18="",H18=""),"",IF(ISNUMBER(SEARCH("rhithral",'ANLAGE &amp; BEWERTUNG'!$B$6)),IF(H18&gt;$I$2/100*3,"häufig","selten"),IF(OR(ISNUMBER(SEARCH("potamal",'ANLAGE &amp; BEWERTUNG'!$B$6)),ISNUMBER(SEARCH("bach",'ANLAGE &amp; BEWERTUNG'!$B$6))),IF(H18&gt;$I$2/100*1,"häufig","selten"),"Region?")))</f>
        <v/>
      </c>
      <c r="F18" s="142"/>
      <c r="G18" s="39"/>
      <c r="H18" s="144" t="str">
        <f t="shared" si="0"/>
        <v/>
      </c>
      <c r="I18" s="70"/>
      <c r="K18" s="127" t="str">
        <f>IF(H18="","",IF(OR(D18="l",D18="b",E18="häufig"),IF($C$2="ja",H18/10000*$C$1^2*10,H18/10000*$C$1^2*10*'Quantitativ KS'!$A$12),""))</f>
        <v/>
      </c>
      <c r="L18" s="122" t="str">
        <f t="shared" si="1"/>
        <v/>
      </c>
      <c r="M18" s="26" t="str">
        <f>IF(L18&lt;&gt;"",IF(L18&gt;'Quantitativ KS'!$C$2,1,IF(OR(I18&gt;='Quantitativ KS'!$A$10,L18&gt;'Quantitativ KS'!$C$3),2,IF(L18&gt;'Quantitativ KS'!$C$4,3,IF(L18&gt;'Quantitativ KS'!$C$5,4,IF(L18&gt;='Quantitativ KS'!$C$6,5,"Fehler"))))),"")</f>
        <v/>
      </c>
      <c r="N18" s="7" t="str">
        <f>IF(I18&gt;='Quantitativ KS'!$A$10,"*","")</f>
        <v/>
      </c>
      <c r="V18" s="71"/>
      <c r="W18" s="71"/>
      <c r="X18" s="71"/>
      <c r="Y18" s="71"/>
      <c r="Z18" s="71"/>
    </row>
    <row r="19" spans="1:26" x14ac:dyDescent="0.2">
      <c r="A19" s="196"/>
      <c r="B19" s="181"/>
      <c r="C19" s="52"/>
      <c r="D19" s="38"/>
      <c r="E19" s="63" t="str">
        <f>IF(OR(C19="",H19=""),"",IF(ISNUMBER(SEARCH("rhithral",'ANLAGE &amp; BEWERTUNG'!$B$6)),IF(H19&gt;$I$2/100*3,"häufig","selten"),IF(OR(ISNUMBER(SEARCH("potamal",'ANLAGE &amp; BEWERTUNG'!$B$6)),ISNUMBER(SEARCH("bach",'ANLAGE &amp; BEWERTUNG'!$B$6))),IF(H19&gt;$I$2/100*1,"häufig","selten"),"Region?")))</f>
        <v/>
      </c>
      <c r="F19" s="142"/>
      <c r="G19" s="39"/>
      <c r="H19" s="144" t="str">
        <f t="shared" si="0"/>
        <v/>
      </c>
      <c r="I19" s="70"/>
      <c r="K19" s="127" t="str">
        <f>IF(H19="","",IF(OR(D19="l",D19="b",E19="häufig"),IF($C$2="ja",H19/10000*$C$1^2*10,H19/10000*$C$1^2*10*'Quantitativ KS'!$A$12),""))</f>
        <v/>
      </c>
      <c r="L19" s="122" t="str">
        <f t="shared" si="1"/>
        <v/>
      </c>
      <c r="M19" s="26" t="str">
        <f>IF(L19&lt;&gt;"",IF(L19&gt;'Quantitativ KS'!$C$2,1,IF(OR(I19&gt;='Quantitativ KS'!$A$10,L19&gt;'Quantitativ KS'!$C$3),2,IF(L19&gt;'Quantitativ KS'!$C$4,3,IF(L19&gt;'Quantitativ KS'!$C$5,4,IF(L19&gt;='Quantitativ KS'!$C$6,5,"Fehler"))))),"")</f>
        <v/>
      </c>
      <c r="N19" s="7" t="str">
        <f>IF(I19&gt;='Quantitativ KS'!$A$10,"*","")</f>
        <v/>
      </c>
      <c r="V19" s="71"/>
      <c r="W19" s="71"/>
      <c r="X19" s="71"/>
      <c r="Y19" s="71"/>
      <c r="Z19" s="71"/>
    </row>
    <row r="20" spans="1:26" x14ac:dyDescent="0.2">
      <c r="A20" s="196"/>
      <c r="B20" s="181"/>
      <c r="C20" s="52"/>
      <c r="D20" s="38"/>
      <c r="E20" s="63" t="str">
        <f>IF(OR(C20="",H20=""),"",IF(ISNUMBER(SEARCH("rhithral",'ANLAGE &amp; BEWERTUNG'!$B$6)),IF(H20&gt;$I$2/100*3,"häufig","selten"),IF(OR(ISNUMBER(SEARCH("potamal",'ANLAGE &amp; BEWERTUNG'!$B$6)),ISNUMBER(SEARCH("bach",'ANLAGE &amp; BEWERTUNG'!$B$6))),IF(H20&gt;$I$2/100*1,"häufig","selten"),"Region?")))</f>
        <v/>
      </c>
      <c r="F20" s="142"/>
      <c r="G20" s="39"/>
      <c r="H20" s="144" t="str">
        <f t="shared" si="0"/>
        <v/>
      </c>
      <c r="I20" s="70"/>
      <c r="K20" s="127" t="str">
        <f>IF(H20="","",IF(OR(D20="l",D20="b",E20="häufig"),IF($C$2="ja",H20/10000*$C$1^2*10,H20/10000*$C$1^2*10*'Quantitativ KS'!$A$12),""))</f>
        <v/>
      </c>
      <c r="L20" s="122" t="str">
        <f t="shared" si="1"/>
        <v/>
      </c>
      <c r="M20" s="26" t="str">
        <f>IF(L20&lt;&gt;"",IF(L20&gt;'Quantitativ KS'!$C$2,1,IF(OR(I20&gt;='Quantitativ KS'!$A$10,L20&gt;'Quantitativ KS'!$C$3),2,IF(L20&gt;'Quantitativ KS'!$C$4,3,IF(L20&gt;'Quantitativ KS'!$C$5,4,IF(L20&gt;='Quantitativ KS'!$C$6,5,"Fehler"))))),"")</f>
        <v/>
      </c>
      <c r="N20" s="7" t="str">
        <f>IF(I20&gt;='Quantitativ KS'!$A$10,"*","")</f>
        <v/>
      </c>
      <c r="V20" s="71"/>
      <c r="W20" s="71"/>
      <c r="X20" s="71"/>
      <c r="Y20" s="71"/>
      <c r="Z20" s="71"/>
    </row>
    <row r="21" spans="1:26" x14ac:dyDescent="0.2">
      <c r="A21" s="196"/>
      <c r="B21" s="181"/>
      <c r="C21" s="52"/>
      <c r="D21" s="38"/>
      <c r="E21" s="63" t="str">
        <f>IF(OR(C21="",H21=""),"",IF(ISNUMBER(SEARCH("rhithral",'ANLAGE &amp; BEWERTUNG'!$B$6)),IF(H21&gt;$I$2/100*3,"häufig","selten"),IF(OR(ISNUMBER(SEARCH("potamal",'ANLAGE &amp; BEWERTUNG'!$B$6)),ISNUMBER(SEARCH("bach",'ANLAGE &amp; BEWERTUNG'!$B$6))),IF(H21&gt;$I$2/100*1,"häufig","selten"),"Region?")))</f>
        <v/>
      </c>
      <c r="F21" s="142"/>
      <c r="G21" s="39"/>
      <c r="H21" s="144" t="str">
        <f t="shared" si="0"/>
        <v/>
      </c>
      <c r="I21" s="70"/>
      <c r="K21" s="127" t="str">
        <f>IF(H21="","",IF(OR(D21="l",D21="b",E21="häufig"),IF($C$2="ja",H21/10000*$C$1^2*10,H21/10000*$C$1^2*10*'Quantitativ KS'!$A$12),""))</f>
        <v/>
      </c>
      <c r="L21" s="122" t="str">
        <f t="shared" si="1"/>
        <v/>
      </c>
      <c r="M21" s="26" t="str">
        <f>IF(L21&lt;&gt;"",IF(L21&gt;'Quantitativ KS'!$C$2,1,IF(OR(I21&gt;='Quantitativ KS'!$A$10,L21&gt;'Quantitativ KS'!$C$3),2,IF(L21&gt;'Quantitativ KS'!$C$4,3,IF(L21&gt;'Quantitativ KS'!$C$5,4,IF(L21&gt;='Quantitativ KS'!$C$6,5,"Fehler"))))),"")</f>
        <v/>
      </c>
      <c r="N21" s="7" t="str">
        <f>IF(I21&gt;='Quantitativ KS'!$A$10,"*","")</f>
        <v/>
      </c>
      <c r="V21" s="71"/>
      <c r="W21" s="71"/>
      <c r="X21" s="71"/>
      <c r="Y21" s="71"/>
      <c r="Z21" s="71"/>
    </row>
    <row r="22" spans="1:26" x14ac:dyDescent="0.2">
      <c r="A22" s="196"/>
      <c r="B22" s="181"/>
      <c r="C22" s="52"/>
      <c r="D22" s="38"/>
      <c r="E22" s="63" t="str">
        <f>IF(OR(C22="",H22=""),"",IF(ISNUMBER(SEARCH("rhithral",'ANLAGE &amp; BEWERTUNG'!$B$6)),IF(H22&gt;$I$2/100*3,"häufig","selten"),IF(OR(ISNUMBER(SEARCH("potamal",'ANLAGE &amp; BEWERTUNG'!$B$6)),ISNUMBER(SEARCH("bach",'ANLAGE &amp; BEWERTUNG'!$B$6))),IF(H22&gt;$I$2/100*1,"häufig","selten"),"Region?")))</f>
        <v/>
      </c>
      <c r="F22" s="142"/>
      <c r="G22" s="39"/>
      <c r="H22" s="144" t="str">
        <f t="shared" si="0"/>
        <v/>
      </c>
      <c r="I22" s="70"/>
      <c r="K22" s="127" t="str">
        <f>IF(H22="","",IF(OR(D22="l",D22="b",E22="häufig"),IF($C$2="ja",H22/10000*$C$1^2*10,H22/10000*$C$1^2*10*'Quantitativ KS'!$A$12),""))</f>
        <v/>
      </c>
      <c r="L22" s="122" t="str">
        <f t="shared" si="1"/>
        <v/>
      </c>
      <c r="M22" s="26" t="str">
        <f>IF(L22&lt;&gt;"",IF(L22&gt;'Quantitativ KS'!$C$2,1,IF(OR(I22&gt;='Quantitativ KS'!$A$10,L22&gt;'Quantitativ KS'!$C$3),2,IF(L22&gt;'Quantitativ KS'!$C$4,3,IF(L22&gt;'Quantitativ KS'!$C$5,4,IF(L22&gt;='Quantitativ KS'!$C$6,5,"Fehler"))))),"")</f>
        <v/>
      </c>
      <c r="N22" s="7" t="str">
        <f>IF(I22&gt;='Quantitativ KS'!$A$10,"*","")</f>
        <v/>
      </c>
      <c r="V22" s="71"/>
      <c r="W22" s="71"/>
      <c r="X22" s="71"/>
      <c r="Y22" s="71"/>
      <c r="Z22" s="71"/>
    </row>
    <row r="23" spans="1:26" x14ac:dyDescent="0.2">
      <c r="A23" s="196"/>
      <c r="B23" s="181"/>
      <c r="C23" s="52"/>
      <c r="D23" s="38"/>
      <c r="E23" s="63" t="str">
        <f>IF(OR(C23="",H23=""),"",IF(ISNUMBER(SEARCH("rhithral",'ANLAGE &amp; BEWERTUNG'!$B$6)),IF(H23&gt;$I$2/100*3,"häufig","selten"),IF(OR(ISNUMBER(SEARCH("potamal",'ANLAGE &amp; BEWERTUNG'!$B$6)),ISNUMBER(SEARCH("bach",'ANLAGE &amp; BEWERTUNG'!$B$6))),IF(H23&gt;$I$2/100*1,"häufig","selten"),"Region?")))</f>
        <v/>
      </c>
      <c r="F23" s="142"/>
      <c r="G23" s="39"/>
      <c r="H23" s="144" t="str">
        <f t="shared" si="0"/>
        <v/>
      </c>
      <c r="I23" s="70"/>
      <c r="K23" s="127" t="str">
        <f>IF(H23="","",IF(OR(D23="l",D23="b",E23="häufig"),IF($C$2="ja",H23/10000*$C$1^2*10,H23/10000*$C$1^2*10*'Quantitativ KS'!$A$12),""))</f>
        <v/>
      </c>
      <c r="L23" s="122" t="str">
        <f t="shared" si="1"/>
        <v/>
      </c>
      <c r="M23" s="26" t="str">
        <f>IF(L23&lt;&gt;"",IF(L23&gt;'Quantitativ KS'!$C$2,1,IF(OR(I23&gt;='Quantitativ KS'!$A$10,L23&gt;'Quantitativ KS'!$C$3),2,IF(L23&gt;'Quantitativ KS'!$C$4,3,IF(L23&gt;'Quantitativ KS'!$C$5,4,IF(L23&gt;='Quantitativ KS'!$C$6,5,"Fehler"))))),"")</f>
        <v/>
      </c>
      <c r="N23" s="7" t="str">
        <f>IF(I23&gt;='Quantitativ KS'!$A$10,"*","")</f>
        <v/>
      </c>
      <c r="V23" s="71"/>
      <c r="W23" s="71"/>
      <c r="X23" s="71"/>
      <c r="Y23" s="71"/>
      <c r="Z23" s="71"/>
    </row>
    <row r="24" spans="1:26" x14ac:dyDescent="0.2">
      <c r="A24" s="196"/>
      <c r="B24" s="181"/>
      <c r="C24" s="52"/>
      <c r="D24" s="38"/>
      <c r="E24" s="63" t="str">
        <f>IF(OR(C24="",H24=""),"",IF(ISNUMBER(SEARCH("rhithral",'ANLAGE &amp; BEWERTUNG'!$B$6)),IF(H24&gt;$I$2/100*3,"häufig","selten"),IF(OR(ISNUMBER(SEARCH("potamal",'ANLAGE &amp; BEWERTUNG'!$B$6)),ISNUMBER(SEARCH("bach",'ANLAGE &amp; BEWERTUNG'!$B$6))),IF(H24&gt;$I$2/100*1,"häufig","selten"),"Region?")))</f>
        <v/>
      </c>
      <c r="F24" s="142"/>
      <c r="G24" s="39"/>
      <c r="H24" s="144" t="str">
        <f t="shared" si="0"/>
        <v/>
      </c>
      <c r="I24" s="70"/>
      <c r="K24" s="127" t="str">
        <f>IF(H24="","",IF(OR(D24="l",D24="b",E24="häufig"),IF($C$2="ja",H24/10000*$C$1^2*10,H24/10000*$C$1^2*10*'Quantitativ KS'!$A$12),""))</f>
        <v/>
      </c>
      <c r="L24" s="122" t="str">
        <f t="shared" si="1"/>
        <v/>
      </c>
      <c r="M24" s="26" t="str">
        <f>IF(L24&lt;&gt;"",IF(L24&gt;'Quantitativ KS'!$C$2,1,IF(OR(I24&gt;='Quantitativ KS'!$A$10,L24&gt;'Quantitativ KS'!$C$3),2,IF(L24&gt;'Quantitativ KS'!$C$4,3,IF(L24&gt;'Quantitativ KS'!$C$5,4,IF(L24&gt;='Quantitativ KS'!$C$6,5,"Fehler"))))),"")</f>
        <v/>
      </c>
      <c r="N24" s="7" t="str">
        <f>IF(I24&gt;='Quantitativ KS'!$A$10,"*","")</f>
        <v/>
      </c>
      <c r="V24" s="71"/>
      <c r="W24" s="71"/>
      <c r="X24" s="71"/>
      <c r="Y24" s="71"/>
      <c r="Z24" s="71"/>
    </row>
    <row r="25" spans="1:26" x14ac:dyDescent="0.2">
      <c r="A25" s="196"/>
      <c r="B25" s="181"/>
      <c r="C25" s="52"/>
      <c r="D25" s="38"/>
      <c r="E25" s="63" t="str">
        <f>IF(OR(C25="",H25=""),"",IF(ISNUMBER(SEARCH("rhithral",'ANLAGE &amp; BEWERTUNG'!$B$6)),IF(H25&gt;$I$2/100*3,"häufig","selten"),IF(OR(ISNUMBER(SEARCH("potamal",'ANLAGE &amp; BEWERTUNG'!$B$6)),ISNUMBER(SEARCH("bach",'ANLAGE &amp; BEWERTUNG'!$B$6))),IF(H25&gt;$I$2/100*1,"häufig","selten"),"Region?")))</f>
        <v/>
      </c>
      <c r="F25" s="142"/>
      <c r="G25" s="39"/>
      <c r="H25" s="144" t="str">
        <f t="shared" si="0"/>
        <v/>
      </c>
      <c r="I25" s="70"/>
      <c r="K25" s="127" t="str">
        <f>IF(H25="","",IF(OR(D25="l",D25="b",E25="häufig"),IF($C$2="ja",H25/10000*$C$1^2*10,H25/10000*$C$1^2*10*'Quantitativ KS'!$A$12),""))</f>
        <v/>
      </c>
      <c r="L25" s="122" t="str">
        <f t="shared" si="1"/>
        <v/>
      </c>
      <c r="M25" s="26" t="str">
        <f>IF(L25&lt;&gt;"",IF(L25&gt;'Quantitativ KS'!$C$2,1,IF(OR(I25&gt;='Quantitativ KS'!$A$10,L25&gt;'Quantitativ KS'!$C$3),2,IF(L25&gt;'Quantitativ KS'!$C$4,3,IF(L25&gt;'Quantitativ KS'!$C$5,4,IF(L25&gt;='Quantitativ KS'!$C$6,5,"Fehler"))))),"")</f>
        <v/>
      </c>
      <c r="N25" s="7" t="str">
        <f>IF(I25&gt;='Quantitativ KS'!$A$10,"*","")</f>
        <v/>
      </c>
      <c r="V25" s="71"/>
      <c r="W25" s="71"/>
      <c r="X25" s="71"/>
      <c r="Y25" s="71"/>
      <c r="Z25" s="71"/>
    </row>
    <row r="26" spans="1:26" x14ac:dyDescent="0.2">
      <c r="A26" s="196"/>
      <c r="B26" s="181"/>
      <c r="C26" s="52"/>
      <c r="D26" s="38"/>
      <c r="E26" s="63" t="str">
        <f>IF(OR(C26="",H26=""),"",IF(ISNUMBER(SEARCH("rhithral",'ANLAGE &amp; BEWERTUNG'!$B$6)),IF(H26&gt;$I$2/100*3,"häufig","selten"),IF(OR(ISNUMBER(SEARCH("potamal",'ANLAGE &amp; BEWERTUNG'!$B$6)),ISNUMBER(SEARCH("bach",'ANLAGE &amp; BEWERTUNG'!$B$6))),IF(H26&gt;$I$2/100*1,"häufig","selten"),"Region?")))</f>
        <v/>
      </c>
      <c r="F26" s="142"/>
      <c r="G26" s="39"/>
      <c r="H26" s="144" t="str">
        <f t="shared" si="0"/>
        <v/>
      </c>
      <c r="I26" s="70"/>
      <c r="K26" s="127" t="str">
        <f>IF(H26="","",IF(OR(D26="l",D26="b",E26="häufig"),IF($C$2="ja",H26/10000*$C$1^2*10,H26/10000*$C$1^2*10*'Quantitativ KS'!$A$12),""))</f>
        <v/>
      </c>
      <c r="L26" s="122" t="str">
        <f t="shared" si="1"/>
        <v/>
      </c>
      <c r="M26" s="26" t="str">
        <f>IF(L26&lt;&gt;"",IF(L26&gt;'Quantitativ KS'!$C$2,1,IF(OR(I26&gt;='Quantitativ KS'!$A$10,L26&gt;'Quantitativ KS'!$C$3),2,IF(L26&gt;'Quantitativ KS'!$C$4,3,IF(L26&gt;'Quantitativ KS'!$C$5,4,IF(L26&gt;='Quantitativ KS'!$C$6,5,"Fehler"))))),"")</f>
        <v/>
      </c>
      <c r="N26" s="7" t="str">
        <f>IF(I26&gt;='Quantitativ KS'!$A$10,"*","")</f>
        <v/>
      </c>
      <c r="V26" s="71"/>
      <c r="W26" s="71"/>
      <c r="X26" s="71"/>
      <c r="Y26" s="71"/>
      <c r="Z26" s="71"/>
    </row>
    <row r="27" spans="1:26" x14ac:dyDescent="0.2">
      <c r="A27" s="196"/>
      <c r="B27" s="181"/>
      <c r="C27" s="52"/>
      <c r="D27" s="38"/>
      <c r="E27" s="63" t="str">
        <f>IF(OR(C27="",H27=""),"",IF(ISNUMBER(SEARCH("rhithral",'ANLAGE &amp; BEWERTUNG'!$B$6)),IF(H27&gt;$I$2/100*3,"häufig","selten"),IF(OR(ISNUMBER(SEARCH("potamal",'ANLAGE &amp; BEWERTUNG'!$B$6)),ISNUMBER(SEARCH("bach",'ANLAGE &amp; BEWERTUNG'!$B$6))),IF(H27&gt;$I$2/100*1,"häufig","selten"),"Region?")))</f>
        <v/>
      </c>
      <c r="F27" s="142"/>
      <c r="G27" s="39"/>
      <c r="H27" s="144" t="str">
        <f t="shared" si="0"/>
        <v/>
      </c>
      <c r="I27" s="70"/>
      <c r="K27" s="127" t="str">
        <f>IF(H27="","",IF(OR(D27="l",D27="b",E27="häufig"),IF($C$2="ja",H27/10000*$C$1^2*10,H27/10000*$C$1^2*10*'Quantitativ KS'!$A$12),""))</f>
        <v/>
      </c>
      <c r="L27" s="122" t="str">
        <f t="shared" si="1"/>
        <v/>
      </c>
      <c r="M27" s="26" t="str">
        <f>IF(L27&lt;&gt;"",IF(L27&gt;'Quantitativ KS'!$C$2,1,IF(OR(I27&gt;='Quantitativ KS'!$A$10,L27&gt;'Quantitativ KS'!$C$3),2,IF(L27&gt;'Quantitativ KS'!$C$4,3,IF(L27&gt;'Quantitativ KS'!$C$5,4,IF(L27&gt;='Quantitativ KS'!$C$6,5,"Fehler"))))),"")</f>
        <v/>
      </c>
      <c r="N27" s="7" t="str">
        <f>IF(I27&gt;='Quantitativ KS'!$A$10,"*","")</f>
        <v/>
      </c>
      <c r="V27" s="71"/>
      <c r="W27" s="71"/>
      <c r="X27" s="71"/>
      <c r="Y27" s="71"/>
      <c r="Z27" s="71"/>
    </row>
    <row r="28" spans="1:26" x14ac:dyDescent="0.2">
      <c r="A28" s="196"/>
      <c r="B28" s="181"/>
      <c r="C28" s="52"/>
      <c r="D28" s="38"/>
      <c r="E28" s="63" t="str">
        <f>IF(OR(C28="",H28=""),"",IF(ISNUMBER(SEARCH("rhithral",'ANLAGE &amp; BEWERTUNG'!$B$6)),IF(H28&gt;$I$2/100*3,"häufig","selten"),IF(OR(ISNUMBER(SEARCH("potamal",'ANLAGE &amp; BEWERTUNG'!$B$6)),ISNUMBER(SEARCH("bach",'ANLAGE &amp; BEWERTUNG'!$B$6))),IF(H28&gt;$I$2/100*1,"häufig","selten"),"Region?")))</f>
        <v/>
      </c>
      <c r="F28" s="142"/>
      <c r="G28" s="39"/>
      <c r="H28" s="144" t="str">
        <f t="shared" si="0"/>
        <v/>
      </c>
      <c r="I28" s="70"/>
      <c r="K28" s="127" t="str">
        <f>IF(H28="","",IF(OR(D28="l",D28="b",E28="häufig"),IF($C$2="ja",H28/10000*$C$1^2*10,H28/10000*$C$1^2*10*'Quantitativ KS'!$A$12),""))</f>
        <v/>
      </c>
      <c r="L28" s="122" t="str">
        <f t="shared" si="1"/>
        <v/>
      </c>
      <c r="M28" s="26" t="str">
        <f>IF(L28&lt;&gt;"",IF(L28&gt;'Quantitativ KS'!$C$2,1,IF(OR(I28&gt;='Quantitativ KS'!$A$10,L28&gt;'Quantitativ KS'!$C$3),2,IF(L28&gt;'Quantitativ KS'!$C$4,3,IF(L28&gt;'Quantitativ KS'!$C$5,4,IF(L28&gt;='Quantitativ KS'!$C$6,5,"Fehler"))))),"")</f>
        <v/>
      </c>
      <c r="N28" s="7" t="str">
        <f>IF(I28&gt;='Quantitativ KS'!$A$10,"*","")</f>
        <v/>
      </c>
      <c r="V28" s="71"/>
      <c r="W28" s="71"/>
      <c r="X28" s="71"/>
      <c r="Y28" s="71"/>
      <c r="Z28" s="71"/>
    </row>
    <row r="29" spans="1:26" x14ac:dyDescent="0.2">
      <c r="A29" s="196"/>
      <c r="B29" s="181"/>
      <c r="C29" s="52"/>
      <c r="D29" s="38"/>
      <c r="E29" s="63" t="str">
        <f>IF(OR(C29="",H29=""),"",IF(ISNUMBER(SEARCH("rhithral",'ANLAGE &amp; BEWERTUNG'!$B$6)),IF(H29&gt;$I$2/100*3,"häufig","selten"),IF(OR(ISNUMBER(SEARCH("potamal",'ANLAGE &amp; BEWERTUNG'!$B$6)),ISNUMBER(SEARCH("bach",'ANLAGE &amp; BEWERTUNG'!$B$6))),IF(H29&gt;$I$2/100*1,"häufig","selten"),"Region?")))</f>
        <v/>
      </c>
      <c r="F29" s="142"/>
      <c r="G29" s="39"/>
      <c r="H29" s="144" t="str">
        <f t="shared" si="0"/>
        <v/>
      </c>
      <c r="I29" s="70"/>
      <c r="K29" s="127" t="str">
        <f>IF(H29="","",IF(OR(D29="l",D29="b",E29="häufig"),IF($C$2="ja",H29/10000*$C$1^2*10,H29/10000*$C$1^2*10*'Quantitativ KS'!$A$12),""))</f>
        <v/>
      </c>
      <c r="L29" s="122" t="str">
        <f t="shared" si="1"/>
        <v/>
      </c>
      <c r="M29" s="26" t="str">
        <f>IF(L29&lt;&gt;"",IF(L29&gt;'Quantitativ KS'!$C$2,1,IF(OR(I29&gt;='Quantitativ KS'!$A$10,L29&gt;'Quantitativ KS'!$C$3),2,IF(L29&gt;'Quantitativ KS'!$C$4,3,IF(L29&gt;'Quantitativ KS'!$C$5,4,IF(L29&gt;='Quantitativ KS'!$C$6,5,"Fehler"))))),"")</f>
        <v/>
      </c>
      <c r="N29" s="7" t="str">
        <f>IF(I29&gt;='Quantitativ KS'!$A$10,"*","")</f>
        <v/>
      </c>
      <c r="V29" s="71"/>
      <c r="W29" s="71"/>
      <c r="X29" s="71"/>
      <c r="Y29" s="71"/>
      <c r="Z29" s="71"/>
    </row>
    <row r="30" spans="1:26" x14ac:dyDescent="0.2">
      <c r="A30" s="196"/>
      <c r="B30" s="181"/>
      <c r="C30" s="52"/>
      <c r="D30" s="38"/>
      <c r="E30" s="63" t="str">
        <f>IF(OR(C30="",H30=""),"",IF(ISNUMBER(SEARCH("rhithral",'ANLAGE &amp; BEWERTUNG'!$B$6)),IF(H30&gt;$I$2/100*3,"häufig","selten"),IF(OR(ISNUMBER(SEARCH("potamal",'ANLAGE &amp; BEWERTUNG'!$B$6)),ISNUMBER(SEARCH("bach",'ANLAGE &amp; BEWERTUNG'!$B$6))),IF(H30&gt;$I$2/100*1,"häufig","selten"),"Region?")))</f>
        <v/>
      </c>
      <c r="F30" s="142"/>
      <c r="G30" s="39"/>
      <c r="H30" s="144" t="str">
        <f t="shared" si="0"/>
        <v/>
      </c>
      <c r="I30" s="70"/>
      <c r="K30" s="127" t="str">
        <f>IF(H30="","",IF(OR(D30="l",D30="b",E30="häufig"),IF($C$2="ja",H30/10000*$C$1^2*10,H30/10000*$C$1^2*10*'Quantitativ KS'!$A$12),""))</f>
        <v/>
      </c>
      <c r="L30" s="122" t="str">
        <f t="shared" si="1"/>
        <v/>
      </c>
      <c r="M30" s="26" t="str">
        <f>IF(L30&lt;&gt;"",IF(L30&gt;'Quantitativ KS'!$C$2,1,IF(OR(I30&gt;='Quantitativ KS'!$A$10,L30&gt;'Quantitativ KS'!$C$3),2,IF(L30&gt;'Quantitativ KS'!$C$4,3,IF(L30&gt;'Quantitativ KS'!$C$5,4,IF(L30&gt;='Quantitativ KS'!$C$6,5,"Fehler"))))),"")</f>
        <v/>
      </c>
      <c r="N30" s="7" t="str">
        <f>IF(I30&gt;='Quantitativ KS'!$A$10,"*","")</f>
        <v/>
      </c>
      <c r="V30" s="71"/>
      <c r="W30" s="71"/>
      <c r="X30" s="71"/>
      <c r="Y30" s="71"/>
      <c r="Z30" s="71"/>
    </row>
    <row r="31" spans="1:26" x14ac:dyDescent="0.2">
      <c r="A31" s="196"/>
      <c r="B31" s="181"/>
      <c r="C31" s="52"/>
      <c r="D31" s="38"/>
      <c r="E31" s="63" t="str">
        <f>IF(OR(C31="",H31=""),"",IF(ISNUMBER(SEARCH("rhithral",'ANLAGE &amp; BEWERTUNG'!$B$6)),IF(H31&gt;$I$2/100*3,"häufig","selten"),IF(OR(ISNUMBER(SEARCH("potamal",'ANLAGE &amp; BEWERTUNG'!$B$6)),ISNUMBER(SEARCH("bach",'ANLAGE &amp; BEWERTUNG'!$B$6))),IF(H31&gt;$I$2/100*1,"häufig","selten"),"Region?")))</f>
        <v/>
      </c>
      <c r="F31" s="142"/>
      <c r="G31" s="39"/>
      <c r="H31" s="144" t="str">
        <f t="shared" si="0"/>
        <v/>
      </c>
      <c r="I31" s="70"/>
      <c r="K31" s="127" t="str">
        <f>IF(H31="","",IF(OR(D31="l",D31="b",E31="häufig"),IF($C$2="ja",H31/10000*$C$1^2*10,H31/10000*$C$1^2*10*'Quantitativ KS'!$A$12),""))</f>
        <v/>
      </c>
      <c r="L31" s="122" t="str">
        <f t="shared" si="1"/>
        <v/>
      </c>
      <c r="M31" s="26" t="str">
        <f>IF(L31&lt;&gt;"",IF(L31&gt;'Quantitativ KS'!$C$2,1,IF(OR(I31&gt;='Quantitativ KS'!$A$10,L31&gt;'Quantitativ KS'!$C$3),2,IF(L31&gt;'Quantitativ KS'!$C$4,3,IF(L31&gt;'Quantitativ KS'!$C$5,4,IF(L31&gt;='Quantitativ KS'!$C$6,5,"Fehler"))))),"")</f>
        <v/>
      </c>
      <c r="N31" s="7" t="str">
        <f>IF(I31&gt;='Quantitativ KS'!$A$10,"*","")</f>
        <v/>
      </c>
      <c r="V31" s="71"/>
      <c r="W31" s="71"/>
      <c r="X31" s="71"/>
      <c r="Y31" s="71"/>
      <c r="Z31" s="71"/>
    </row>
    <row r="32" spans="1:26" x14ac:dyDescent="0.2">
      <c r="A32" s="196"/>
      <c r="B32" s="181"/>
      <c r="C32" s="52"/>
      <c r="D32" s="38"/>
      <c r="E32" s="63" t="str">
        <f>IF(OR(C32="",H32=""),"",IF(ISNUMBER(SEARCH("rhithral",'ANLAGE &amp; BEWERTUNG'!$B$6)),IF(H32&gt;$I$2/100*3,"häufig","selten"),IF(OR(ISNUMBER(SEARCH("potamal",'ANLAGE &amp; BEWERTUNG'!$B$6)),ISNUMBER(SEARCH("bach",'ANLAGE &amp; BEWERTUNG'!$B$6))),IF(H32&gt;$I$2/100*1,"häufig","selten"),"Region?")))</f>
        <v/>
      </c>
      <c r="F32" s="142"/>
      <c r="G32" s="39"/>
      <c r="H32" s="144" t="str">
        <f t="shared" si="0"/>
        <v/>
      </c>
      <c r="I32" s="70"/>
      <c r="K32" s="127" t="str">
        <f>IF(H32="","",IF(OR(D32="l",D32="b",E32="häufig"),IF($C$2="ja",H32/10000*$C$1^2*10,H32/10000*$C$1^2*10*'Quantitativ KS'!$A$12),""))</f>
        <v/>
      </c>
      <c r="L32" s="122" t="str">
        <f t="shared" si="1"/>
        <v/>
      </c>
      <c r="M32" s="26" t="str">
        <f>IF(L32&lt;&gt;"",IF(L32&gt;'Quantitativ KS'!$C$2,1,IF(OR(I32&gt;='Quantitativ KS'!$A$10,L32&gt;'Quantitativ KS'!$C$3),2,IF(L32&gt;'Quantitativ KS'!$C$4,3,IF(L32&gt;'Quantitativ KS'!$C$5,4,IF(L32&gt;='Quantitativ KS'!$C$6,5,"Fehler"))))),"")</f>
        <v/>
      </c>
      <c r="N32" s="7" t="str">
        <f>IF(I32&gt;='Quantitativ KS'!$A$10,"*","")</f>
        <v/>
      </c>
      <c r="V32" s="71"/>
      <c r="W32" s="71"/>
      <c r="X32" s="71"/>
      <c r="Y32" s="71"/>
      <c r="Z32" s="71"/>
    </row>
    <row r="33" spans="1:26" x14ac:dyDescent="0.2">
      <c r="A33" s="196"/>
      <c r="B33" s="181"/>
      <c r="C33" s="52"/>
      <c r="D33" s="38"/>
      <c r="E33" s="63" t="str">
        <f>IF(OR(C33="",H33=""),"",IF(ISNUMBER(SEARCH("rhithral",'ANLAGE &amp; BEWERTUNG'!$B$6)),IF(H33&gt;$I$2/100*3,"häufig","selten"),IF(OR(ISNUMBER(SEARCH("potamal",'ANLAGE &amp; BEWERTUNG'!$B$6)),ISNUMBER(SEARCH("bach",'ANLAGE &amp; BEWERTUNG'!$B$6))),IF(H33&gt;$I$2/100*1,"häufig","selten"),"Region?")))</f>
        <v/>
      </c>
      <c r="F33" s="142"/>
      <c r="G33" s="39"/>
      <c r="H33" s="144" t="str">
        <f t="shared" si="0"/>
        <v/>
      </c>
      <c r="I33" s="70"/>
      <c r="K33" s="127" t="str">
        <f>IF(H33="","",IF(OR(D33="l",D33="b",E33="häufig"),IF($C$2="ja",H33/10000*$C$1^2*10,H33/10000*$C$1^2*10*'Quantitativ KS'!$A$12),""))</f>
        <v/>
      </c>
      <c r="L33" s="122" t="str">
        <f t="shared" si="1"/>
        <v/>
      </c>
      <c r="M33" s="26" t="str">
        <f>IF(L33&lt;&gt;"",IF(L33&gt;'Quantitativ KS'!$C$2,1,IF(OR(I33&gt;='Quantitativ KS'!$A$10,L33&gt;'Quantitativ KS'!$C$3),2,IF(L33&gt;'Quantitativ KS'!$C$4,3,IF(L33&gt;'Quantitativ KS'!$C$5,4,IF(L33&gt;='Quantitativ KS'!$C$6,5,"Fehler"))))),"")</f>
        <v/>
      </c>
      <c r="N33" s="7" t="str">
        <f>IF(I33&gt;='Quantitativ KS'!$A$10,"*","")</f>
        <v/>
      </c>
      <c r="V33" s="71"/>
      <c r="W33" s="71"/>
      <c r="X33" s="71"/>
      <c r="Y33" s="71"/>
      <c r="Z33" s="71"/>
    </row>
    <row r="34" spans="1:26" x14ac:dyDescent="0.2">
      <c r="A34" s="196"/>
      <c r="B34" s="181"/>
      <c r="C34" s="52"/>
      <c r="D34" s="38"/>
      <c r="E34" s="63" t="str">
        <f>IF(OR(C34="",H34=""),"",IF(ISNUMBER(SEARCH("rhithral",'ANLAGE &amp; BEWERTUNG'!$B$6)),IF(H34&gt;$I$2/100*3,"häufig","selten"),IF(OR(ISNUMBER(SEARCH("potamal",'ANLAGE &amp; BEWERTUNG'!$B$6)),ISNUMBER(SEARCH("bach",'ANLAGE &amp; BEWERTUNG'!$B$6))),IF(H34&gt;$I$2/100*1,"häufig","selten"),"Region?")))</f>
        <v/>
      </c>
      <c r="F34" s="142"/>
      <c r="G34" s="39"/>
      <c r="H34" s="144" t="str">
        <f t="shared" si="0"/>
        <v/>
      </c>
      <c r="I34" s="70"/>
      <c r="K34" s="127" t="str">
        <f>IF(H34="","",IF(OR(D34="l",D34="b",E34="häufig"),IF($C$2="ja",H34/10000*$C$1^2*10,H34/10000*$C$1^2*10*'Quantitativ KS'!$A$12),""))</f>
        <v/>
      </c>
      <c r="L34" s="122" t="str">
        <f t="shared" si="1"/>
        <v/>
      </c>
      <c r="M34" s="26" t="str">
        <f>IF(L34&lt;&gt;"",IF(L34&gt;'Quantitativ KS'!$C$2,1,IF(OR(I34&gt;='Quantitativ KS'!$A$10,L34&gt;'Quantitativ KS'!$C$3),2,IF(L34&gt;'Quantitativ KS'!$C$4,3,IF(L34&gt;'Quantitativ KS'!$C$5,4,IF(L34&gt;='Quantitativ KS'!$C$6,5,"Fehler"))))),"")</f>
        <v/>
      </c>
      <c r="N34" s="7" t="str">
        <f>IF(I34&gt;='Quantitativ KS'!$A$10,"*","")</f>
        <v/>
      </c>
      <c r="V34" s="71"/>
      <c r="W34" s="71"/>
      <c r="X34" s="71"/>
      <c r="Y34" s="71"/>
      <c r="Z34" s="71"/>
    </row>
    <row r="35" spans="1:26" x14ac:dyDescent="0.2">
      <c r="A35" s="196"/>
      <c r="B35" s="181"/>
      <c r="C35" s="52"/>
      <c r="D35" s="38"/>
      <c r="E35" s="63" t="str">
        <f>IF(OR(C35="",H35=""),"",IF(ISNUMBER(SEARCH("rhithral",'ANLAGE &amp; BEWERTUNG'!$B$6)),IF(H35&gt;$I$2/100*3,"häufig","selten"),IF(OR(ISNUMBER(SEARCH("potamal",'ANLAGE &amp; BEWERTUNG'!$B$6)),ISNUMBER(SEARCH("bach",'ANLAGE &amp; BEWERTUNG'!$B$6))),IF(H35&gt;$I$2/100*1,"häufig","selten"),"Region?")))</f>
        <v/>
      </c>
      <c r="F35" s="142"/>
      <c r="G35" s="39"/>
      <c r="H35" s="144" t="str">
        <f t="shared" si="0"/>
        <v/>
      </c>
      <c r="I35" s="70"/>
      <c r="K35" s="127" t="str">
        <f>IF(H35="","",IF(OR(D35="l",D35="b",E35="häufig"),IF($C$2="ja",H35/10000*$C$1^2*10,H35/10000*$C$1^2*10*'Quantitativ KS'!$A$12),""))</f>
        <v/>
      </c>
      <c r="L35" s="122" t="str">
        <f t="shared" si="1"/>
        <v/>
      </c>
      <c r="M35" s="26" t="str">
        <f>IF(L35&lt;&gt;"",IF(L35&gt;'Quantitativ KS'!$C$2,1,IF(OR(I35&gt;='Quantitativ KS'!$A$10,L35&gt;'Quantitativ KS'!$C$3),2,IF(L35&gt;'Quantitativ KS'!$C$4,3,IF(L35&gt;'Quantitativ KS'!$C$5,4,IF(L35&gt;='Quantitativ KS'!$C$6,5,"Fehler"))))),"")</f>
        <v/>
      </c>
      <c r="N35" s="7" t="str">
        <f>IF(I35&gt;='Quantitativ KS'!$A$10,"*","")</f>
        <v/>
      </c>
      <c r="V35" s="71"/>
      <c r="W35" s="71"/>
      <c r="X35" s="71"/>
      <c r="Y35" s="71"/>
      <c r="Z35" s="71"/>
    </row>
    <row r="36" spans="1:26" x14ac:dyDescent="0.2">
      <c r="A36" s="196"/>
      <c r="B36" s="181"/>
      <c r="C36" s="52"/>
      <c r="D36" s="38"/>
      <c r="E36" s="63" t="str">
        <f>IF(OR(C36="",H36=""),"",IF(ISNUMBER(SEARCH("rhithral",'ANLAGE &amp; BEWERTUNG'!$B$6)),IF(H36&gt;$I$2/100*3,"häufig","selten"),IF(OR(ISNUMBER(SEARCH("potamal",'ANLAGE &amp; BEWERTUNG'!$B$6)),ISNUMBER(SEARCH("bach",'ANLAGE &amp; BEWERTUNG'!$B$6))),IF(H36&gt;$I$2/100*1,"häufig","selten"),"Region?")))</f>
        <v/>
      </c>
      <c r="F36" s="142"/>
      <c r="G36" s="39"/>
      <c r="H36" s="144" t="str">
        <f t="shared" si="0"/>
        <v/>
      </c>
      <c r="I36" s="70"/>
      <c r="K36" s="127" t="str">
        <f>IF(H36="","",IF(OR(D36="l",D36="b",E36="häufig"),IF($C$2="ja",H36/10000*$C$1^2*10,H36/10000*$C$1^2*10*'Quantitativ KS'!$A$12),""))</f>
        <v/>
      </c>
      <c r="L36" s="122" t="str">
        <f t="shared" si="1"/>
        <v/>
      </c>
      <c r="M36" s="26" t="str">
        <f>IF(L36&lt;&gt;"",IF(L36&gt;'Quantitativ KS'!$C$2,1,IF(OR(I36&gt;='Quantitativ KS'!$A$10,L36&gt;'Quantitativ KS'!$C$3),2,IF(L36&gt;'Quantitativ KS'!$C$4,3,IF(L36&gt;'Quantitativ KS'!$C$5,4,IF(L36&gt;='Quantitativ KS'!$C$6,5,"Fehler"))))),"")</f>
        <v/>
      </c>
      <c r="N36" s="7" t="str">
        <f>IF(I36&gt;='Quantitativ KS'!$A$10,"*","")</f>
        <v/>
      </c>
      <c r="V36" s="71"/>
      <c r="W36" s="71"/>
      <c r="X36" s="71"/>
      <c r="Y36" s="71"/>
      <c r="Z36" s="71"/>
    </row>
    <row r="37" spans="1:26" x14ac:dyDescent="0.2">
      <c r="A37" s="196"/>
      <c r="B37" s="181"/>
      <c r="C37" s="52"/>
      <c r="D37" s="38"/>
      <c r="E37" s="63" t="str">
        <f>IF(OR(C37="",H37=""),"",IF(ISNUMBER(SEARCH("rhithral",'ANLAGE &amp; BEWERTUNG'!$B$6)),IF(H37&gt;$I$2/100*3,"häufig","selten"),IF(OR(ISNUMBER(SEARCH("potamal",'ANLAGE &amp; BEWERTUNG'!$B$6)),ISNUMBER(SEARCH("bach",'ANLAGE &amp; BEWERTUNG'!$B$6))),IF(H37&gt;$I$2/100*1,"häufig","selten"),"Region?")))</f>
        <v/>
      </c>
      <c r="F37" s="142"/>
      <c r="G37" s="39"/>
      <c r="H37" s="144" t="str">
        <f t="shared" si="0"/>
        <v/>
      </c>
      <c r="I37" s="70"/>
      <c r="K37" s="127" t="str">
        <f>IF(H37="","",IF(OR(D37="l",D37="b",E37="häufig"),IF($C$2="ja",H37/10000*$C$1^2*10,H37/10000*$C$1^2*10*'Quantitativ KS'!$A$12),""))</f>
        <v/>
      </c>
      <c r="L37" s="122" t="str">
        <f t="shared" si="1"/>
        <v/>
      </c>
      <c r="M37" s="26" t="str">
        <f>IF(L37&lt;&gt;"",IF(L37&gt;'Quantitativ KS'!$C$2,1,IF(OR(I37&gt;='Quantitativ KS'!$A$10,L37&gt;'Quantitativ KS'!$C$3),2,IF(L37&gt;'Quantitativ KS'!$C$4,3,IF(L37&gt;'Quantitativ KS'!$C$5,4,IF(L37&gt;='Quantitativ KS'!$C$6,5,"Fehler"))))),"")</f>
        <v/>
      </c>
      <c r="N37" s="7" t="str">
        <f>IF(I37&gt;='Quantitativ KS'!$A$10,"*","")</f>
        <v/>
      </c>
      <c r="V37" s="71"/>
      <c r="W37" s="71"/>
      <c r="X37" s="71"/>
      <c r="Y37" s="71"/>
      <c r="Z37" s="71"/>
    </row>
    <row r="38" spans="1:26" x14ac:dyDescent="0.2">
      <c r="A38" s="196"/>
      <c r="B38" s="181"/>
      <c r="C38" s="52"/>
      <c r="D38" s="38"/>
      <c r="E38" s="63" t="str">
        <f>IF(OR(C38="",H38=""),"",IF(ISNUMBER(SEARCH("rhithral",'ANLAGE &amp; BEWERTUNG'!$B$6)),IF(H38&gt;$I$2/100*3,"häufig","selten"),IF(OR(ISNUMBER(SEARCH("potamal",'ANLAGE &amp; BEWERTUNG'!$B$6)),ISNUMBER(SEARCH("bach",'ANLAGE &amp; BEWERTUNG'!$B$6))),IF(H38&gt;$I$2/100*1,"häufig","selten"),"Region?")))</f>
        <v/>
      </c>
      <c r="F38" s="142"/>
      <c r="G38" s="39"/>
      <c r="H38" s="144" t="str">
        <f t="shared" si="0"/>
        <v/>
      </c>
      <c r="I38" s="70"/>
      <c r="K38" s="127" t="str">
        <f>IF(H38="","",IF(OR(D38="l",D38="b",E38="häufig"),IF($C$2="ja",H38/10000*$C$1^2*10,H38/10000*$C$1^2*10*'Quantitativ KS'!$A$12),""))</f>
        <v/>
      </c>
      <c r="L38" s="122" t="str">
        <f t="shared" si="1"/>
        <v/>
      </c>
      <c r="M38" s="26" t="str">
        <f>IF(L38&lt;&gt;"",IF(L38&gt;'Quantitativ KS'!$C$2,1,IF(OR(I38&gt;='Quantitativ KS'!$A$10,L38&gt;'Quantitativ KS'!$C$3),2,IF(L38&gt;'Quantitativ KS'!$C$4,3,IF(L38&gt;'Quantitativ KS'!$C$5,4,IF(L38&gt;='Quantitativ KS'!$C$6,5,"Fehler"))))),"")</f>
        <v/>
      </c>
      <c r="N38" s="7" t="str">
        <f>IF(I38&gt;='Quantitativ KS'!$A$10,"*","")</f>
        <v/>
      </c>
      <c r="V38" s="71"/>
      <c r="W38" s="71"/>
      <c r="X38" s="71"/>
      <c r="Y38" s="71"/>
      <c r="Z38" s="71"/>
    </row>
    <row r="39" spans="1:26" x14ac:dyDescent="0.2">
      <c r="A39" s="196"/>
      <c r="B39" s="181"/>
      <c r="C39" s="52"/>
      <c r="D39" s="38"/>
      <c r="E39" s="63" t="str">
        <f>IF(OR(C39="",H39=""),"",IF(ISNUMBER(SEARCH("rhithral",'ANLAGE &amp; BEWERTUNG'!$B$6)),IF(H39&gt;$I$2/100*3,"häufig","selten"),IF(OR(ISNUMBER(SEARCH("potamal",'ANLAGE &amp; BEWERTUNG'!$B$6)),ISNUMBER(SEARCH("bach",'ANLAGE &amp; BEWERTUNG'!$B$6))),IF(H39&gt;$I$2/100*1,"häufig","selten"),"Region?")))</f>
        <v/>
      </c>
      <c r="F39" s="142"/>
      <c r="G39" s="39"/>
      <c r="H39" s="144" t="str">
        <f t="shared" si="0"/>
        <v/>
      </c>
      <c r="I39" s="70"/>
      <c r="K39" s="127" t="str">
        <f>IF(H39="","",IF(OR(D39="l",D39="b",E39="häufig"),IF($C$2="ja",H39/10000*$C$1^2*10,H39/10000*$C$1^2*10*'Quantitativ KS'!$A$12),""))</f>
        <v/>
      </c>
      <c r="L39" s="122" t="str">
        <f t="shared" si="1"/>
        <v/>
      </c>
      <c r="M39" s="26" t="str">
        <f>IF(L39&lt;&gt;"",IF(L39&gt;'Quantitativ KS'!$C$2,1,IF(OR(I39&gt;='Quantitativ KS'!$A$10,L39&gt;'Quantitativ KS'!$C$3),2,IF(L39&gt;'Quantitativ KS'!$C$4,3,IF(L39&gt;'Quantitativ KS'!$C$5,4,IF(L39&gt;='Quantitativ KS'!$C$6,5,"Fehler"))))),"")</f>
        <v/>
      </c>
      <c r="N39" s="7" t="str">
        <f>IF(I39&gt;='Quantitativ KS'!$A$10,"*","")</f>
        <v/>
      </c>
      <c r="V39" s="71"/>
      <c r="W39" s="71"/>
      <c r="X39" s="71"/>
      <c r="Y39" s="71"/>
      <c r="Z39" s="71"/>
    </row>
    <row r="40" spans="1:26" x14ac:dyDescent="0.2">
      <c r="A40" s="196"/>
      <c r="B40" s="181"/>
      <c r="C40" s="52"/>
      <c r="D40" s="38"/>
      <c r="E40" s="63" t="str">
        <f>IF(OR(C40="",H40=""),"",IF(ISNUMBER(SEARCH("rhithral",'ANLAGE &amp; BEWERTUNG'!$B$6)),IF(H40&gt;$I$2/100*3,"häufig","selten"),IF(OR(ISNUMBER(SEARCH("potamal",'ANLAGE &amp; BEWERTUNG'!$B$6)),ISNUMBER(SEARCH("bach",'ANLAGE &amp; BEWERTUNG'!$B$6))),IF(H40&gt;$I$2/100*1,"häufig","selten"),"Region?")))</f>
        <v/>
      </c>
      <c r="F40" s="142"/>
      <c r="G40" s="39"/>
      <c r="H40" s="144" t="str">
        <f t="shared" si="0"/>
        <v/>
      </c>
      <c r="I40" s="70"/>
      <c r="K40" s="127" t="str">
        <f>IF(H40="","",IF(OR(D40="l",D40="b",E40="häufig"),IF($C$2="ja",H40/10000*$C$1^2*10,H40/10000*$C$1^2*10*'Quantitativ KS'!$A$12),""))</f>
        <v/>
      </c>
      <c r="L40" s="122" t="str">
        <f t="shared" si="1"/>
        <v/>
      </c>
      <c r="M40" s="26" t="str">
        <f>IF(L40&lt;&gt;"",IF(L40&gt;'Quantitativ KS'!$C$2,1,IF(OR(I40&gt;='Quantitativ KS'!$A$10,L40&gt;'Quantitativ KS'!$C$3),2,IF(L40&gt;'Quantitativ KS'!$C$4,3,IF(L40&gt;'Quantitativ KS'!$C$5,4,IF(L40&gt;='Quantitativ KS'!$C$6,5,"Fehler"))))),"")</f>
        <v/>
      </c>
      <c r="N40" s="7" t="str">
        <f>IF(I40&gt;='Quantitativ KS'!$A$10,"*","")</f>
        <v/>
      </c>
      <c r="V40" s="71"/>
      <c r="W40" s="71"/>
      <c r="X40" s="71"/>
      <c r="Y40" s="71"/>
      <c r="Z40" s="71"/>
    </row>
    <row r="41" spans="1:26" x14ac:dyDescent="0.2">
      <c r="A41" s="196"/>
      <c r="B41" s="181"/>
      <c r="C41" s="52"/>
      <c r="D41" s="38"/>
      <c r="E41" s="63" t="str">
        <f>IF(OR(C41="",H41=""),"",IF(ISNUMBER(SEARCH("rhithral",'ANLAGE &amp; BEWERTUNG'!$B$6)),IF(H41&gt;$I$2/100*3,"häufig","selten"),IF(OR(ISNUMBER(SEARCH("potamal",'ANLAGE &amp; BEWERTUNG'!$B$6)),ISNUMBER(SEARCH("bach",'ANLAGE &amp; BEWERTUNG'!$B$6))),IF(H41&gt;$I$2/100*1,"häufig","selten"),"Region?")))</f>
        <v/>
      </c>
      <c r="F41" s="142"/>
      <c r="G41" s="39"/>
      <c r="H41" s="144" t="str">
        <f t="shared" si="0"/>
        <v/>
      </c>
      <c r="I41" s="70"/>
      <c r="K41" s="127" t="str">
        <f>IF(H41="","",IF(OR(D41="l",D41="b",E41="häufig"),IF($C$2="ja",H41/10000*$C$1^2*10,H41/10000*$C$1^2*10*'Quantitativ KS'!$A$12),""))</f>
        <v/>
      </c>
      <c r="L41" s="122" t="str">
        <f t="shared" si="1"/>
        <v/>
      </c>
      <c r="M41" s="26" t="str">
        <f>IF(L41&lt;&gt;"",IF(L41&gt;'Quantitativ KS'!$C$2,1,IF(OR(I41&gt;='Quantitativ KS'!$A$10,L41&gt;'Quantitativ KS'!$C$3),2,IF(L41&gt;'Quantitativ KS'!$C$4,3,IF(L41&gt;'Quantitativ KS'!$C$5,4,IF(L41&gt;='Quantitativ KS'!$C$6,5,"Fehler"))))),"")</f>
        <v/>
      </c>
      <c r="N41" s="7" t="str">
        <f>IF(I41&gt;='Quantitativ KS'!$A$10,"*","")</f>
        <v/>
      </c>
      <c r="V41" s="71"/>
      <c r="W41" s="71"/>
      <c r="X41" s="71"/>
      <c r="Y41" s="71"/>
      <c r="Z41" s="71"/>
    </row>
    <row r="42" spans="1:26" x14ac:dyDescent="0.2">
      <c r="A42" s="196"/>
      <c r="B42" s="181"/>
      <c r="C42" s="52"/>
      <c r="D42" s="38"/>
      <c r="E42" s="63" t="str">
        <f>IF(OR(C42="",H42=""),"",IF(ISNUMBER(SEARCH("rhithral",'ANLAGE &amp; BEWERTUNG'!$B$6)),IF(H42&gt;$I$2/100*3,"häufig","selten"),IF(OR(ISNUMBER(SEARCH("potamal",'ANLAGE &amp; BEWERTUNG'!$B$6)),ISNUMBER(SEARCH("bach",'ANLAGE &amp; BEWERTUNG'!$B$6))),IF(H42&gt;$I$2/100*1,"häufig","selten"),"Region?")))</f>
        <v/>
      </c>
      <c r="F42" s="142"/>
      <c r="G42" s="39"/>
      <c r="H42" s="144" t="str">
        <f t="shared" si="0"/>
        <v/>
      </c>
      <c r="I42" s="70"/>
      <c r="K42" s="127" t="str">
        <f>IF(H42="","",IF(OR(D42="l",D42="b",E42="häufig"),IF($C$2="ja",H42/10000*$C$1^2*10,H42/10000*$C$1^2*10*'Quantitativ KS'!$A$12),""))</f>
        <v/>
      </c>
      <c r="L42" s="122" t="str">
        <f t="shared" si="1"/>
        <v/>
      </c>
      <c r="M42" s="26" t="str">
        <f>IF(L42&lt;&gt;"",IF(L42&gt;'Quantitativ KS'!$C$2,1,IF(OR(I42&gt;='Quantitativ KS'!$A$10,L42&gt;'Quantitativ KS'!$C$3),2,IF(L42&gt;'Quantitativ KS'!$C$4,3,IF(L42&gt;'Quantitativ KS'!$C$5,4,IF(L42&gt;='Quantitativ KS'!$C$6,5,"Fehler"))))),"")</f>
        <v/>
      </c>
      <c r="N42" s="7" t="str">
        <f>IF(I42&gt;='Quantitativ KS'!$A$10,"*","")</f>
        <v/>
      </c>
      <c r="V42" s="71"/>
      <c r="W42" s="71"/>
      <c r="X42" s="71"/>
      <c r="Y42" s="71"/>
      <c r="Z42" s="71"/>
    </row>
    <row r="43" spans="1:26" x14ac:dyDescent="0.2">
      <c r="A43" s="196"/>
      <c r="B43" s="181"/>
      <c r="C43" s="52"/>
      <c r="D43" s="38"/>
      <c r="E43" s="63" t="str">
        <f>IF(OR(C43="",H43=""),"",IF(ISNUMBER(SEARCH("rhithral",'ANLAGE &amp; BEWERTUNG'!$B$6)),IF(H43&gt;$I$2/100*3,"häufig","selten"),IF(OR(ISNUMBER(SEARCH("potamal",'ANLAGE &amp; BEWERTUNG'!$B$6)),ISNUMBER(SEARCH("bach",'ANLAGE &amp; BEWERTUNG'!$B$6))),IF(H43&gt;$I$2/100*1,"häufig","selten"),"Region?")))</f>
        <v/>
      </c>
      <c r="F43" s="142"/>
      <c r="G43" s="39"/>
      <c r="H43" s="144" t="str">
        <f t="shared" si="0"/>
        <v/>
      </c>
      <c r="I43" s="70"/>
      <c r="K43" s="127" t="str">
        <f>IF(H43="","",IF(OR(D43="l",D43="b",E43="häufig"),IF($C$2="ja",H43/10000*$C$1^2*10,H43/10000*$C$1^2*10*'Quantitativ KS'!$A$12),""))</f>
        <v/>
      </c>
      <c r="L43" s="122" t="str">
        <f t="shared" si="1"/>
        <v/>
      </c>
      <c r="M43" s="26" t="str">
        <f>IF(L43&lt;&gt;"",IF(L43&gt;'Quantitativ KS'!$C$2,1,IF(OR(I43&gt;='Quantitativ KS'!$A$10,L43&gt;'Quantitativ KS'!$C$3),2,IF(L43&gt;'Quantitativ KS'!$C$4,3,IF(L43&gt;'Quantitativ KS'!$C$5,4,IF(L43&gt;='Quantitativ KS'!$C$6,5,"Fehler"))))),"")</f>
        <v/>
      </c>
      <c r="N43" s="7" t="str">
        <f>IF(I43&gt;='Quantitativ KS'!$A$10,"*","")</f>
        <v/>
      </c>
      <c r="V43" s="71"/>
      <c r="W43" s="71"/>
      <c r="X43" s="71"/>
      <c r="Y43" s="71"/>
      <c r="Z43" s="71"/>
    </row>
    <row r="44" spans="1:26" x14ac:dyDescent="0.2">
      <c r="A44" s="186"/>
      <c r="B44" s="182"/>
      <c r="C44" s="169"/>
      <c r="D44" s="170"/>
      <c r="E44" s="64"/>
      <c r="F44" s="205"/>
      <c r="G44" s="206"/>
      <c r="H44" s="64"/>
      <c r="I44" s="65"/>
      <c r="K44" s="197" t="s">
        <v>131</v>
      </c>
      <c r="L44" s="198"/>
      <c r="M44" s="128" t="e">
        <f>AVERAGE(M10:M43)</f>
        <v>#DIV/0!</v>
      </c>
      <c r="N44" s="123" t="e">
        <f>ROUND(M44,0)</f>
        <v>#DIV/0!</v>
      </c>
      <c r="Q44" s="72"/>
      <c r="R44" s="73"/>
      <c r="V44" s="71"/>
      <c r="W44" s="71"/>
      <c r="X44" s="71"/>
      <c r="Y44" s="71"/>
      <c r="Z44" s="71"/>
    </row>
    <row r="45" spans="1:26" ht="25.5" x14ac:dyDescent="0.2">
      <c r="C45" s="6" t="s">
        <v>160</v>
      </c>
      <c r="D45" s="6" t="s">
        <v>166</v>
      </c>
      <c r="E45" s="6" t="s">
        <v>362</v>
      </c>
      <c r="F45" s="31" t="s">
        <v>150</v>
      </c>
      <c r="G45" s="32" t="s">
        <v>149</v>
      </c>
      <c r="H45" s="33" t="s">
        <v>148</v>
      </c>
      <c r="I45" s="4" t="s">
        <v>139</v>
      </c>
      <c r="K45" s="129" t="s">
        <v>365</v>
      </c>
      <c r="L45" s="121" t="s">
        <v>35</v>
      </c>
      <c r="M45" s="121"/>
      <c r="N45" s="10"/>
      <c r="V45" s="71"/>
      <c r="W45" s="71"/>
      <c r="X45" s="71"/>
      <c r="Y45" s="71"/>
      <c r="Z45" s="71"/>
    </row>
    <row r="46" spans="1:26" x14ac:dyDescent="0.2">
      <c r="A46" s="185" t="s">
        <v>381</v>
      </c>
      <c r="B46" s="180" t="s">
        <v>359</v>
      </c>
      <c r="C46" s="55"/>
      <c r="D46" s="42"/>
      <c r="E46" s="62" t="str">
        <f>IF(OR(C46="",H46=""),"",IF(ISNUMBER(SEARCH("rhithral",'ANLAGE &amp; BEWERTUNG'!$B$6)),IF(H46&gt;$I$2/100*3,"häufig","selten"),IF(OR(ISNUMBER(SEARCH("potamal",'ANLAGE &amp; BEWERTUNG'!$B$6)),ISNUMBER(SEARCH("bach",'ANLAGE &amp; BEWERTUNG'!$B$6))),IF(H46&gt;$I$2/100*1,"häufig","selten"),"Region?")))</f>
        <v/>
      </c>
      <c r="F46" s="140"/>
      <c r="G46" s="37"/>
      <c r="H46" s="143" t="str">
        <f t="shared" ref="H46:H52" si="2">IF(G46="","",IF(OR(F46=0,G46=100),0,F46*(100-G46)/100))</f>
        <v/>
      </c>
      <c r="I46" s="69"/>
      <c r="K46" s="130" t="str">
        <f>IF(H46="","",IF(OR(D46="l",D46="b",E46="häufig"),IF($C$2="ja",H46/10000*$C$1^2*20,H46/10000*$C$1^2*20*'Quantitativ MS'!$A$12),""))</f>
        <v/>
      </c>
      <c r="L46" s="120" t="str">
        <f>IF(K46&lt;&gt;"",I46/K46*100,"")</f>
        <v/>
      </c>
      <c r="M46" s="121" t="str">
        <f>IF(L46&lt;&gt;"",IF(L46&gt;'Quantitativ MS'!$C$2,1,IF(OR(I46&gt;='Quantitativ MS'!$A$10,L46&gt;'Quantitativ MS'!$C$3),2,IF(L46&gt;'Quantitativ MS'!$C$4,3,IF(L46&gt;'Quantitativ MS'!$C$5,4,IF(L46&gt;='Quantitativ MS'!$C$6,5,"Fehler"))))),"")</f>
        <v/>
      </c>
      <c r="N46" s="10" t="str">
        <f>IF(I46&gt;='Quantitativ KS'!$A$10,"*","")</f>
        <v/>
      </c>
      <c r="P46" s="145" t="str">
        <f>IF($M46="","",$F46*$M46)</f>
        <v/>
      </c>
      <c r="V46" s="71"/>
      <c r="W46" s="71"/>
      <c r="X46" s="71"/>
      <c r="Y46" s="71"/>
      <c r="Z46" s="71"/>
    </row>
    <row r="47" spans="1:26" x14ac:dyDescent="0.2">
      <c r="A47" s="196"/>
      <c r="B47" s="237"/>
      <c r="C47" s="52"/>
      <c r="D47" s="38"/>
      <c r="E47" s="63" t="str">
        <f>IF(OR(C47="",H47=""),"",IF(ISNUMBER(SEARCH("rhithral",'ANLAGE &amp; BEWERTUNG'!$B$6)),IF(H47&gt;$I$2/100*3,"häufig","selten"),IF(OR(ISNUMBER(SEARCH("potamal",'ANLAGE &amp; BEWERTUNG'!$B$6)),ISNUMBER(SEARCH("bach",'ANLAGE &amp; BEWERTUNG'!$B$6))),IF(H47&gt;$I$2/100*1,"häufig","selten"),"Region?")))</f>
        <v/>
      </c>
      <c r="F47" s="141"/>
      <c r="G47" s="39"/>
      <c r="H47" s="144" t="str">
        <f t="shared" si="2"/>
        <v/>
      </c>
      <c r="I47" s="70"/>
      <c r="K47" s="127" t="str">
        <f>IF(H47="","",IF(OR(D47="l",D47="b",E47="häufig"),IF($C$2="ja",H47/10000*$C$1^2*20,H47/10000*$C$1^2*20*'Quantitativ MS'!$A$12),""))</f>
        <v/>
      </c>
      <c r="L47" s="122" t="str">
        <f t="shared" ref="L47:L52" si="3">IF(K47&lt;&gt;"",I47/K47*100,"")</f>
        <v/>
      </c>
      <c r="M47" s="26" t="str">
        <f>IF(L47&lt;&gt;"",IF(L47&gt;'Quantitativ MS'!$C$2,1,IF(OR(I47&gt;='Quantitativ MS'!$A$10,L47&gt;'Quantitativ MS'!$C$3),2,IF(L47&gt;'Quantitativ MS'!$C$4,3,IF(L47&gt;'Quantitativ MS'!$C$5,4,IF(L47&gt;='Quantitativ MS'!$C$6,5,"Fehler"))))),"")</f>
        <v/>
      </c>
      <c r="N47" s="7" t="str">
        <f>IF(I47&gt;='Quantitativ KS'!$A$10,"*","")</f>
        <v/>
      </c>
      <c r="P47" s="145" t="str">
        <f t="shared" ref="P47:P53" si="4">IF($M47="","",$F47*$M47)</f>
        <v/>
      </c>
      <c r="V47" s="71"/>
      <c r="W47" s="71"/>
      <c r="X47" s="71"/>
      <c r="Y47" s="71"/>
      <c r="Z47" s="71"/>
    </row>
    <row r="48" spans="1:26" x14ac:dyDescent="0.2">
      <c r="A48" s="196"/>
      <c r="B48" s="237"/>
      <c r="C48" s="52"/>
      <c r="D48" s="38"/>
      <c r="E48" s="63" t="str">
        <f>IF(OR(C48="",H48=""),"",IF(ISNUMBER(SEARCH("rhithral",'ANLAGE &amp; BEWERTUNG'!$B$6)),IF(H48&gt;$I$2/100*3,"häufig","selten"),IF(OR(ISNUMBER(SEARCH("potamal",'ANLAGE &amp; BEWERTUNG'!$B$6)),ISNUMBER(SEARCH("bach",'ANLAGE &amp; BEWERTUNG'!$B$6))),IF(H48&gt;$I$2/100*1,"häufig","selten"),"Region?")))</f>
        <v/>
      </c>
      <c r="F48" s="141"/>
      <c r="G48" s="39"/>
      <c r="H48" s="144" t="str">
        <f t="shared" si="2"/>
        <v/>
      </c>
      <c r="I48" s="70"/>
      <c r="K48" s="127" t="str">
        <f>IF(H48="","",IF(OR(D48="l",D48="b",E48="häufig"),IF($C$2="ja",H48/10000*$C$1^2*20,H48/10000*$C$1^2*20*'Quantitativ MS'!$A$12),""))</f>
        <v/>
      </c>
      <c r="L48" s="122" t="str">
        <f t="shared" si="3"/>
        <v/>
      </c>
      <c r="M48" s="26" t="str">
        <f>IF(L48&lt;&gt;"",IF(L48&gt;'Quantitativ MS'!$C$2,1,IF(OR(I48&gt;='Quantitativ MS'!$A$10,L48&gt;'Quantitativ MS'!$C$3),2,IF(L48&gt;'Quantitativ MS'!$C$4,3,IF(L48&gt;'Quantitativ MS'!$C$5,4,IF(L48&gt;='Quantitativ MS'!$C$6,5,"Fehler"))))),"")</f>
        <v/>
      </c>
      <c r="N48" s="7" t="str">
        <f>IF(I48&gt;='Quantitativ KS'!$A$10,"*","")</f>
        <v/>
      </c>
      <c r="P48" s="145" t="str">
        <f t="shared" si="4"/>
        <v/>
      </c>
      <c r="V48" s="71"/>
      <c r="W48" s="71"/>
      <c r="X48" s="71"/>
      <c r="Y48" s="71"/>
      <c r="Z48" s="71"/>
    </row>
    <row r="49" spans="1:26" x14ac:dyDescent="0.2">
      <c r="A49" s="196"/>
      <c r="B49" s="237"/>
      <c r="C49" s="53"/>
      <c r="D49" s="41"/>
      <c r="E49" s="63" t="str">
        <f>IF(OR(C49="",H49=""),"",IF(ISNUMBER(SEARCH("rhithral",'ANLAGE &amp; BEWERTUNG'!$B$6)),IF(H49&gt;$I$2/100*3,"häufig","selten"),IF(OR(ISNUMBER(SEARCH("potamal",'ANLAGE &amp; BEWERTUNG'!$B$6)),ISNUMBER(SEARCH("bach",'ANLAGE &amp; BEWERTUNG'!$B$6))),IF(H49&gt;$I$2/100*1,"häufig","selten"),"Region?")))</f>
        <v/>
      </c>
      <c r="F49" s="141"/>
      <c r="G49" s="39"/>
      <c r="H49" s="144" t="str">
        <f t="shared" si="2"/>
        <v/>
      </c>
      <c r="I49" s="70"/>
      <c r="K49" s="127" t="str">
        <f>IF(H49="","",IF(OR(D49="l",D49="b",E49="häufig"),IF($C$2="ja",H49/10000*$C$1^2*20,H49/10000*$C$1^2*20*'Quantitativ MS'!$A$12),""))</f>
        <v/>
      </c>
      <c r="L49" s="122" t="str">
        <f t="shared" si="3"/>
        <v/>
      </c>
      <c r="M49" s="26" t="str">
        <f>IF(L49&lt;&gt;"",IF(L49&gt;'Quantitativ MS'!$C$2,1,IF(OR(I49&gt;='Quantitativ MS'!$A$10,L49&gt;'Quantitativ MS'!$C$3),2,IF(L49&gt;'Quantitativ MS'!$C$4,3,IF(L49&gt;'Quantitativ MS'!$C$5,4,IF(L49&gt;='Quantitativ MS'!$C$6,5,"Fehler"))))),"")</f>
        <v/>
      </c>
      <c r="N49" s="7" t="str">
        <f>IF(I49&gt;='Quantitativ KS'!$A$10,"*","")</f>
        <v/>
      </c>
      <c r="P49" s="145" t="str">
        <f t="shared" si="4"/>
        <v/>
      </c>
      <c r="V49" s="71"/>
      <c r="W49" s="71"/>
      <c r="X49" s="71"/>
      <c r="Y49" s="71"/>
      <c r="Z49" s="71"/>
    </row>
    <row r="50" spans="1:26" x14ac:dyDescent="0.2">
      <c r="A50" s="196"/>
      <c r="B50" s="237"/>
      <c r="C50" s="53"/>
      <c r="D50" s="41"/>
      <c r="E50" s="63" t="str">
        <f>IF(OR(C50="",H50=""),"",IF(ISNUMBER(SEARCH("rhithral",'ANLAGE &amp; BEWERTUNG'!$B$6)),IF(H50&gt;$I$2/100*3,"häufig","selten"),IF(OR(ISNUMBER(SEARCH("potamal",'ANLAGE &amp; BEWERTUNG'!$B$6)),ISNUMBER(SEARCH("bach",'ANLAGE &amp; BEWERTUNG'!$B$6))),IF(H50&gt;$I$2/100*1,"häufig","selten"),"Region?")))</f>
        <v/>
      </c>
      <c r="F50" s="141"/>
      <c r="G50" s="39"/>
      <c r="H50" s="144" t="str">
        <f t="shared" si="2"/>
        <v/>
      </c>
      <c r="I50" s="70"/>
      <c r="K50" s="127" t="str">
        <f>IF(H50="","",IF(OR(D50="l",D50="b",E50="häufig"),IF($C$2="ja",H50/10000*$C$1^2*20,H50/10000*$C$1^2*20*'Quantitativ MS'!$A$12),""))</f>
        <v/>
      </c>
      <c r="L50" s="122" t="str">
        <f t="shared" si="3"/>
        <v/>
      </c>
      <c r="M50" s="26" t="str">
        <f>IF(L50&lt;&gt;"",IF(L50&gt;'Quantitativ MS'!$C$2,1,IF(OR(I50&gt;='Quantitativ MS'!$A$10,L50&gt;'Quantitativ MS'!$C$3),2,IF(L50&gt;'Quantitativ MS'!$C$4,3,IF(L50&gt;'Quantitativ MS'!$C$5,4,IF(L50&gt;='Quantitativ MS'!$C$6,5,"Fehler"))))),"")</f>
        <v/>
      </c>
      <c r="N50" s="7" t="str">
        <f>IF(I50&gt;='Quantitativ KS'!$A$10,"*","")</f>
        <v/>
      </c>
      <c r="P50" s="145" t="str">
        <f t="shared" si="4"/>
        <v/>
      </c>
      <c r="V50" s="71"/>
      <c r="W50" s="71"/>
      <c r="X50" s="71"/>
      <c r="Y50" s="71"/>
      <c r="Z50" s="71"/>
    </row>
    <row r="51" spans="1:26" x14ac:dyDescent="0.2">
      <c r="A51" s="196"/>
      <c r="B51" s="237"/>
      <c r="C51" s="53"/>
      <c r="D51" s="41"/>
      <c r="E51" s="63" t="str">
        <f>IF(OR(C51="",H51=""),"",IF(ISNUMBER(SEARCH("rhithral",'ANLAGE &amp; BEWERTUNG'!$B$6)),IF(H51&gt;$I$2/100*3,"häufig","selten"),IF(OR(ISNUMBER(SEARCH("potamal",'ANLAGE &amp; BEWERTUNG'!$B$6)),ISNUMBER(SEARCH("bach",'ANLAGE &amp; BEWERTUNG'!$B$6))),IF(H51&gt;$I$2/100*1,"häufig","selten"),"Region?")))</f>
        <v/>
      </c>
      <c r="F51" s="141"/>
      <c r="G51" s="39"/>
      <c r="H51" s="144" t="str">
        <f t="shared" si="2"/>
        <v/>
      </c>
      <c r="I51" s="70"/>
      <c r="K51" s="127" t="str">
        <f>IF(H51="","",IF(OR(D51="l",D51="b",E51="häufig"),IF($C$2="ja",H51/10000*$C$1^2*20,H51/10000*$C$1^2*20*'Quantitativ MS'!$A$12),""))</f>
        <v/>
      </c>
      <c r="L51" s="122" t="str">
        <f t="shared" si="3"/>
        <v/>
      </c>
      <c r="M51" s="26" t="str">
        <f>IF(L51&lt;&gt;"",IF(L51&gt;'Quantitativ MS'!$C$2,1,IF(OR(I51&gt;='Quantitativ MS'!$A$10,L51&gt;'Quantitativ MS'!$C$3),2,IF(L51&gt;'Quantitativ MS'!$C$4,3,IF(L51&gt;'Quantitativ MS'!$C$5,4,IF(L51&gt;='Quantitativ MS'!$C$6,5,"Fehler"))))),"")</f>
        <v/>
      </c>
      <c r="N51" s="7" t="str">
        <f>IF(I51&gt;='Quantitativ KS'!$A$10,"*","")</f>
        <v/>
      </c>
      <c r="P51" s="145" t="str">
        <f t="shared" si="4"/>
        <v/>
      </c>
      <c r="V51" s="71"/>
      <c r="W51" s="71"/>
      <c r="X51" s="71"/>
      <c r="Y51" s="71"/>
      <c r="Z51" s="71"/>
    </row>
    <row r="52" spans="1:26" x14ac:dyDescent="0.2">
      <c r="A52" s="196"/>
      <c r="B52" s="237"/>
      <c r="C52" s="53"/>
      <c r="D52" s="41"/>
      <c r="E52" s="63" t="str">
        <f>IF(OR(C52="",H52=""),"",IF(ISNUMBER(SEARCH("rhithral",'ANLAGE &amp; BEWERTUNG'!$B$6)),IF(H52&gt;$I$2/100*3,"häufig","selten"),IF(OR(ISNUMBER(SEARCH("potamal",'ANLAGE &amp; BEWERTUNG'!$B$6)),ISNUMBER(SEARCH("bach",'ANLAGE &amp; BEWERTUNG'!$B$6))),IF(H52&gt;$I$2/100*1,"häufig","selten"),"Region?")))</f>
        <v/>
      </c>
      <c r="F52" s="141"/>
      <c r="G52" s="39"/>
      <c r="H52" s="144" t="str">
        <f t="shared" si="2"/>
        <v/>
      </c>
      <c r="I52" s="70"/>
      <c r="K52" s="127" t="str">
        <f>IF(H52="","",IF(OR(D52="l",D52="b",E52="häufig"),IF($C$2="ja",H52/10000*$C$1^2*20,H52/10000*$C$1^2*20*'Quantitativ MS'!$A$12),""))</f>
        <v/>
      </c>
      <c r="L52" s="122" t="str">
        <f t="shared" si="3"/>
        <v/>
      </c>
      <c r="M52" s="26" t="str">
        <f>IF(L52&lt;&gt;"",IF(L52&gt;'Quantitativ MS'!$C$2,1,IF(OR(I52&gt;='Quantitativ MS'!$A$10,L52&gt;'Quantitativ MS'!$C$3),2,IF(L52&gt;'Quantitativ MS'!$C$4,3,IF(L52&gt;'Quantitativ MS'!$C$5,4,IF(L52&gt;='Quantitativ MS'!$C$6,5,"Fehler"))))),"")</f>
        <v/>
      </c>
      <c r="N52" s="7" t="str">
        <f>IF(I52&gt;='Quantitativ KS'!$A$10,"*","")</f>
        <v/>
      </c>
      <c r="P52" s="145" t="str">
        <f t="shared" si="4"/>
        <v/>
      </c>
      <c r="V52" s="71"/>
      <c r="W52" s="71"/>
      <c r="X52" s="71"/>
      <c r="Y52" s="71"/>
      <c r="Z52" s="71"/>
    </row>
    <row r="53" spans="1:26" x14ac:dyDescent="0.2">
      <c r="A53" s="196"/>
      <c r="B53" s="237"/>
      <c r="C53" s="53"/>
      <c r="D53" s="41"/>
      <c r="E53" s="63" t="str">
        <f>IF(OR(C53="",H53=""),"",IF(ISNUMBER(SEARCH("rhithral",'ANLAGE &amp; BEWERTUNG'!$B$6)),IF(H53&gt;$I$2/100*3,"häufig","selten"),IF(OR(ISNUMBER(SEARCH("potamal",'ANLAGE &amp; BEWERTUNG'!$B$6)),ISNUMBER(SEARCH("bach",'ANLAGE &amp; BEWERTUNG'!$B$6))),IF(H53&gt;$I$2/100*1,"häufig","selten"),"Region?")))</f>
        <v/>
      </c>
      <c r="F53" s="141"/>
      <c r="G53" s="39"/>
      <c r="H53" s="144" t="str">
        <f t="shared" ref="H53" si="5">IF(G53="","",IF(OR(F53=0,G53=100),0,F53*(100-G53)/100))</f>
        <v/>
      </c>
      <c r="I53" s="70"/>
      <c r="K53" s="127" t="str">
        <f>IF(H53="","",IF(OR(D53="l",D53="b",E53="häufig"),IF($C$2="ja",H53/10000*$C$1^2*20,H53/10000*$C$1^2*20*'Quantitativ MS'!$A$12),""))</f>
        <v/>
      </c>
      <c r="L53" s="122" t="str">
        <f t="shared" ref="L53" si="6">IF(K53&lt;&gt;"",I53/K53*100,"")</f>
        <v/>
      </c>
      <c r="M53" s="26" t="str">
        <f>IF(L53&lt;&gt;"",IF(L53&gt;'Quantitativ MS'!$C$2,1,IF(OR(I53&gt;='Quantitativ MS'!$A$10,L53&gt;'Quantitativ MS'!$C$3),2,IF(L53&gt;'Quantitativ MS'!$C$4,3,IF(L53&gt;'Quantitativ MS'!$C$5,4,IF(L53&gt;='Quantitativ MS'!$C$6,5,"Fehler"))))),"")</f>
        <v/>
      </c>
      <c r="N53" s="7" t="str">
        <f>IF(I53&gt;='Quantitativ KS'!$A$10,"*","")</f>
        <v/>
      </c>
      <c r="P53" s="145" t="str">
        <f t="shared" si="4"/>
        <v/>
      </c>
      <c r="V53" s="71"/>
      <c r="W53" s="71"/>
      <c r="X53" s="71"/>
      <c r="Y53" s="71"/>
      <c r="Z53" s="71"/>
    </row>
    <row r="54" spans="1:26" x14ac:dyDescent="0.2">
      <c r="A54" s="196"/>
      <c r="B54" s="237"/>
      <c r="C54" s="159"/>
      <c r="D54" s="160"/>
      <c r="E54" s="63"/>
      <c r="F54" s="159"/>
      <c r="G54" s="160"/>
      <c r="H54" s="63"/>
      <c r="I54" s="7"/>
      <c r="K54" s="127"/>
      <c r="L54" s="131" t="s">
        <v>131</v>
      </c>
      <c r="M54" s="132" t="str">
        <f>IF(SUM(M46:M53)&gt;0,AVERAGE(M46:M53),"")</f>
        <v/>
      </c>
      <c r="N54" s="7"/>
      <c r="P54" s="146"/>
      <c r="Q54" s="72"/>
      <c r="S54" s="72"/>
      <c r="V54" s="71"/>
      <c r="W54" s="71"/>
      <c r="X54" s="71"/>
      <c r="Y54" s="71"/>
      <c r="Z54" s="71"/>
    </row>
    <row r="55" spans="1:26" x14ac:dyDescent="0.2">
      <c r="A55" s="186"/>
      <c r="B55" s="238"/>
      <c r="C55" s="171"/>
      <c r="D55" s="172"/>
      <c r="E55" s="64"/>
      <c r="F55" s="171"/>
      <c r="G55" s="172"/>
      <c r="H55" s="64"/>
      <c r="I55" s="65"/>
      <c r="K55" s="233" t="s">
        <v>170</v>
      </c>
      <c r="L55" s="198"/>
      <c r="M55" s="128" t="str">
        <f>IF(SUM($M46:$M53)&gt;0,SUM($P46:$P53)/SUM($F46:$F53),"")</f>
        <v/>
      </c>
      <c r="N55" s="123" t="str">
        <f>IF(M55="","inaktiv",ROUND(M55,0))</f>
        <v>inaktiv</v>
      </c>
      <c r="Q55" s="72"/>
      <c r="R55" s="73"/>
      <c r="S55" s="72"/>
      <c r="T55" s="73"/>
      <c r="V55" s="71"/>
      <c r="W55" s="71"/>
      <c r="X55" s="71"/>
      <c r="Y55" s="71"/>
      <c r="Z55" s="71"/>
    </row>
    <row r="56" spans="1:26" ht="9.9499999999999993" customHeight="1" x14ac:dyDescent="0.2">
      <c r="B56" s="11"/>
      <c r="C56" s="173"/>
      <c r="D56" s="173"/>
      <c r="E56" s="173"/>
      <c r="F56" s="173"/>
      <c r="G56" s="173"/>
      <c r="H56" s="173"/>
      <c r="I56" s="174"/>
      <c r="K56" s="175"/>
      <c r="L56" s="176"/>
      <c r="M56" s="176"/>
      <c r="N56" s="177"/>
      <c r="V56" s="71"/>
      <c r="W56" s="71"/>
      <c r="X56" s="71"/>
      <c r="Y56" s="71"/>
      <c r="Z56" s="71"/>
    </row>
    <row r="57" spans="1:26" ht="25.5" x14ac:dyDescent="0.2">
      <c r="A57" s="185" t="s">
        <v>436</v>
      </c>
      <c r="B57" s="56" t="s">
        <v>173</v>
      </c>
      <c r="C57" s="91" t="s">
        <v>25</v>
      </c>
      <c r="D57" s="239"/>
      <c r="E57" s="239"/>
      <c r="F57" s="239"/>
      <c r="G57" s="240"/>
      <c r="H57" s="93">
        <v>40</v>
      </c>
      <c r="I57" s="137" t="s">
        <v>386</v>
      </c>
      <c r="K57" s="12"/>
      <c r="L57" s="9"/>
      <c r="M57" s="9"/>
      <c r="N57" s="10"/>
      <c r="V57" s="71"/>
      <c r="W57" s="71"/>
      <c r="X57" s="71"/>
      <c r="Y57" s="71"/>
      <c r="Z57" s="71"/>
    </row>
    <row r="58" spans="1:26" x14ac:dyDescent="0.2">
      <c r="A58" s="196"/>
      <c r="B58" s="100" t="s">
        <v>387</v>
      </c>
      <c r="C58" s="78"/>
      <c r="D58" s="241"/>
      <c r="E58" s="241"/>
      <c r="F58" s="241"/>
      <c r="G58" s="242"/>
      <c r="H58" s="102"/>
      <c r="I58" s="138" t="str">
        <f>IF(H58="","",ROUND(H58/$H$57,2))</f>
        <v/>
      </c>
      <c r="K58" s="3"/>
      <c r="N58" s="7"/>
      <c r="Q58" s="94"/>
      <c r="V58" s="71"/>
      <c r="W58" s="71"/>
      <c r="X58" s="71"/>
      <c r="Y58" s="71"/>
      <c r="Z58" s="71"/>
    </row>
    <row r="59" spans="1:26" x14ac:dyDescent="0.2">
      <c r="A59" s="196"/>
      <c r="B59" s="101" t="s">
        <v>388</v>
      </c>
      <c r="C59" s="90"/>
      <c r="D59" s="165" t="str">
        <f>IF(H59&gt;H58,"Fehler Reihenfolge","")</f>
        <v/>
      </c>
      <c r="E59" s="165"/>
      <c r="F59" s="165"/>
      <c r="G59" s="166"/>
      <c r="H59" s="103"/>
      <c r="I59" s="139" t="str">
        <f>IF(H59="","",ROUND(H59/$H$57,2))</f>
        <v/>
      </c>
      <c r="K59" s="3"/>
      <c r="N59" s="7"/>
      <c r="V59" s="71"/>
      <c r="W59" s="71"/>
      <c r="X59" s="71"/>
      <c r="Y59" s="71"/>
      <c r="Z59" s="71"/>
    </row>
    <row r="60" spans="1:26" x14ac:dyDescent="0.2">
      <c r="A60" s="196"/>
      <c r="B60" s="101" t="s">
        <v>389</v>
      </c>
      <c r="C60" s="90"/>
      <c r="D60" s="165" t="str">
        <f>IF(H60&gt;H59,"Fehler Reihenfolge","")</f>
        <v/>
      </c>
      <c r="E60" s="165"/>
      <c r="F60" s="165"/>
      <c r="G60" s="166"/>
      <c r="H60" s="105"/>
      <c r="I60" s="139" t="str">
        <f>IF(H60="","",ROUND(H60/$H$57,2))</f>
        <v/>
      </c>
      <c r="K60" s="3"/>
      <c r="N60" s="7"/>
      <c r="V60" s="71"/>
      <c r="W60" s="71"/>
      <c r="X60" s="71"/>
      <c r="Y60" s="71"/>
      <c r="Z60" s="71"/>
    </row>
    <row r="61" spans="1:26" x14ac:dyDescent="0.2">
      <c r="A61" s="196"/>
      <c r="B61" s="101"/>
      <c r="C61" s="106"/>
      <c r="D61" s="113"/>
      <c r="E61" s="113"/>
      <c r="F61" s="113"/>
      <c r="G61" s="117" t="s">
        <v>384</v>
      </c>
      <c r="H61" s="95" t="str">
        <f>IF(H58="","",AVERAGE(H58:H60))</f>
        <v/>
      </c>
      <c r="I61" s="135" t="s">
        <v>382</v>
      </c>
      <c r="K61" s="3"/>
      <c r="N61" s="7"/>
      <c r="V61" s="71"/>
      <c r="W61" s="71"/>
      <c r="X61" s="71"/>
      <c r="Y61" s="71"/>
      <c r="Z61" s="71"/>
    </row>
    <row r="62" spans="1:26" x14ac:dyDescent="0.2">
      <c r="A62" s="196"/>
      <c r="B62" s="100" t="s">
        <v>390</v>
      </c>
      <c r="C62" s="78"/>
      <c r="D62" s="167"/>
      <c r="E62" s="167"/>
      <c r="F62" s="167"/>
      <c r="G62" s="168"/>
      <c r="H62" s="102"/>
      <c r="I62" s="138" t="str">
        <f>IF(H62="","",ROUND(H62/$H$57,2))</f>
        <v/>
      </c>
      <c r="K62" s="133"/>
      <c r="N62" s="7"/>
      <c r="V62" s="71"/>
      <c r="W62" s="71"/>
      <c r="X62" s="71"/>
      <c r="Y62" s="71"/>
      <c r="Z62" s="71"/>
    </row>
    <row r="63" spans="1:26" x14ac:dyDescent="0.2">
      <c r="A63" s="196"/>
      <c r="B63" s="101" t="s">
        <v>391</v>
      </c>
      <c r="C63" s="90"/>
      <c r="D63" s="165" t="str">
        <f>IF(H63&gt;H62,"Fehler Reihenfolge","")</f>
        <v/>
      </c>
      <c r="E63" s="165"/>
      <c r="F63" s="165"/>
      <c r="G63" s="166"/>
      <c r="H63" s="103"/>
      <c r="I63" s="139" t="str">
        <f t="shared" ref="I63:I64" si="7">IF(H63="","",ROUND(H63/$H$57,2))</f>
        <v/>
      </c>
      <c r="K63" s="133"/>
      <c r="N63" s="7"/>
      <c r="V63" s="71"/>
      <c r="W63" s="71"/>
      <c r="X63" s="71"/>
      <c r="Y63" s="71"/>
      <c r="Z63" s="71"/>
    </row>
    <row r="64" spans="1:26" x14ac:dyDescent="0.2">
      <c r="A64" s="196"/>
      <c r="B64" s="101" t="s">
        <v>392</v>
      </c>
      <c r="C64" s="90"/>
      <c r="D64" s="165" t="str">
        <f>IF(H64&gt;H63,"Fehler Reihenfolge","")</f>
        <v/>
      </c>
      <c r="E64" s="165"/>
      <c r="F64" s="165"/>
      <c r="G64" s="166"/>
      <c r="H64" s="105"/>
      <c r="I64" s="139" t="str">
        <f t="shared" si="7"/>
        <v/>
      </c>
      <c r="K64" s="133"/>
      <c r="N64" s="7"/>
      <c r="V64" s="71"/>
      <c r="W64" s="71"/>
      <c r="X64" s="71"/>
      <c r="Y64" s="71"/>
      <c r="Z64" s="71"/>
    </row>
    <row r="65" spans="1:26" x14ac:dyDescent="0.2">
      <c r="A65" s="196"/>
      <c r="B65" s="101"/>
      <c r="C65" s="106"/>
      <c r="D65" s="113"/>
      <c r="E65" s="113"/>
      <c r="F65" s="114"/>
      <c r="G65" s="118" t="s">
        <v>385</v>
      </c>
      <c r="H65" s="104" t="str">
        <f>IF(H62="","",AVERAGE(H62:H64))</f>
        <v/>
      </c>
      <c r="I65" s="135" t="s">
        <v>382</v>
      </c>
      <c r="K65" s="3"/>
      <c r="N65" s="7"/>
      <c r="V65" s="71"/>
      <c r="W65" s="71"/>
      <c r="X65" s="71"/>
      <c r="Y65" s="71"/>
      <c r="Z65" s="71"/>
    </row>
    <row r="66" spans="1:26" x14ac:dyDescent="0.2">
      <c r="A66" s="196"/>
      <c r="B66" s="56" t="s">
        <v>378</v>
      </c>
      <c r="C66" s="107"/>
      <c r="D66" s="108"/>
      <c r="E66" s="108"/>
      <c r="F66" s="109"/>
      <c r="G66" s="96" t="s">
        <v>394</v>
      </c>
      <c r="H66" s="119" t="e">
        <f>H65/H61</f>
        <v>#VALUE!</v>
      </c>
      <c r="I66" s="10"/>
      <c r="K66" s="162" t="e">
        <f>IF(H66&gt;=Größenselektivität!$C$3,2,IF(H66&gt;=Größenselektivität!$C$4,3,IF(H66&gt;=Größenselektivität!$C$5,4,5)))</f>
        <v>#VALUE!</v>
      </c>
      <c r="L66" s="163"/>
      <c r="M66" s="163"/>
      <c r="N66" s="164"/>
      <c r="V66" s="71"/>
      <c r="W66" s="71"/>
      <c r="X66" s="71"/>
      <c r="Y66" s="71"/>
      <c r="Z66" s="71"/>
    </row>
    <row r="67" spans="1:26" x14ac:dyDescent="0.2">
      <c r="A67" s="196"/>
      <c r="B67" s="89" t="s">
        <v>383</v>
      </c>
      <c r="C67" s="110"/>
      <c r="D67" s="111"/>
      <c r="E67" s="111"/>
      <c r="F67" s="112"/>
      <c r="G67" s="111"/>
      <c r="H67" s="2"/>
      <c r="I67" s="115"/>
      <c r="K67" s="159" t="str">
        <f>IF(OR(AND(I58&lt;0.95,I62&lt;0.95),I62&lt;0.95),"aktiv","inaktiv")</f>
        <v>inaktiv</v>
      </c>
      <c r="L67" s="160"/>
      <c r="M67" s="160"/>
      <c r="N67" s="161"/>
      <c r="V67" s="71"/>
      <c r="W67" s="71"/>
      <c r="X67" s="71"/>
      <c r="Y67" s="71"/>
      <c r="Z67" s="71"/>
    </row>
    <row r="68" spans="1:26" ht="25.5" x14ac:dyDescent="0.2">
      <c r="A68" s="196"/>
      <c r="B68" s="89" t="s">
        <v>437</v>
      </c>
      <c r="C68" s="110"/>
      <c r="D68" s="111"/>
      <c r="E68" s="111"/>
      <c r="F68" s="112"/>
      <c r="G68" s="111"/>
      <c r="H68" s="2"/>
      <c r="I68" s="115"/>
      <c r="K68" s="159">
        <f>IF(AND(I62&gt;=1,I63&gt;=1,COUNT(I62:I63)=2),1,IF(I62&gt;=0.95,2,"nicht nachgewiesen"))</f>
        <v>2</v>
      </c>
      <c r="L68" s="160"/>
      <c r="M68" s="160"/>
      <c r="N68" s="161"/>
      <c r="V68" s="71"/>
      <c r="W68" s="71"/>
      <c r="X68" s="71"/>
      <c r="Y68" s="71"/>
      <c r="Z68" s="71"/>
    </row>
    <row r="69" spans="1:26" x14ac:dyDescent="0.2">
      <c r="A69" s="186"/>
      <c r="B69" s="92" t="s">
        <v>393</v>
      </c>
      <c r="C69" s="106"/>
      <c r="D69" s="113"/>
      <c r="E69" s="113"/>
      <c r="F69" s="114"/>
      <c r="G69" s="113"/>
      <c r="H69" s="116"/>
      <c r="I69" s="65"/>
      <c r="K69" s="134"/>
      <c r="L69" s="8"/>
      <c r="M69" s="8"/>
      <c r="N69" s="123" t="e">
        <f>MIN(K66,K68)</f>
        <v>#VALUE!</v>
      </c>
      <c r="V69" s="71"/>
      <c r="W69" s="71"/>
      <c r="X69" s="71"/>
      <c r="Y69" s="71"/>
      <c r="Z69" s="71"/>
    </row>
    <row r="70" spans="1:26" x14ac:dyDescent="0.2">
      <c r="A70" s="176"/>
      <c r="B70" s="176"/>
      <c r="C70" s="176"/>
      <c r="D70" t="s">
        <v>167</v>
      </c>
      <c r="G70" s="176"/>
      <c r="H70" s="176"/>
      <c r="I70" s="177"/>
      <c r="K70" s="175"/>
      <c r="L70" s="176"/>
      <c r="M70" s="176"/>
      <c r="N70" s="177"/>
      <c r="V70" s="71"/>
      <c r="W70" s="71"/>
      <c r="X70" s="71"/>
      <c r="Y70" s="71"/>
      <c r="Z70" s="71"/>
    </row>
    <row r="71" spans="1:26" ht="25.5" customHeight="1" x14ac:dyDescent="0.2">
      <c r="A71" s="185" t="s">
        <v>172</v>
      </c>
      <c r="B71" s="231" t="s">
        <v>31</v>
      </c>
      <c r="C71" s="232"/>
      <c r="D71" s="42" t="s">
        <v>125</v>
      </c>
      <c r="E71" s="66"/>
      <c r="F71" s="234"/>
      <c r="G71" s="235"/>
      <c r="H71" s="236"/>
      <c r="I71" s="34"/>
      <c r="K71" s="12"/>
      <c r="L71" s="9"/>
      <c r="M71" s="9">
        <f>IF(AND($F71="kommt ausreichend vor",$I71="nicht erfüllt"),0,1)</f>
        <v>1</v>
      </c>
      <c r="N71" s="13"/>
      <c r="V71" s="71"/>
      <c r="W71" s="71"/>
      <c r="X71" s="71"/>
      <c r="Y71" s="71"/>
      <c r="Z71" s="71"/>
    </row>
    <row r="72" spans="1:26" ht="14.25" x14ac:dyDescent="0.2">
      <c r="A72" s="196"/>
      <c r="B72" s="229" t="s">
        <v>154</v>
      </c>
      <c r="C72" s="230"/>
      <c r="D72" s="38" t="s">
        <v>125</v>
      </c>
      <c r="E72" s="67"/>
      <c r="F72" s="226"/>
      <c r="G72" s="227"/>
      <c r="H72" s="228"/>
      <c r="I72" s="40"/>
      <c r="K72" s="3"/>
      <c r="M72">
        <f>IF(AND($F72="kommt ausreichend vor",$I72="nicht erfüllt"),0,1)</f>
        <v>1</v>
      </c>
      <c r="N72" s="7"/>
      <c r="V72" s="71"/>
      <c r="W72" s="71"/>
      <c r="X72" s="71"/>
      <c r="Y72" s="71"/>
      <c r="Z72" s="71"/>
    </row>
    <row r="73" spans="1:26" ht="14.25" x14ac:dyDescent="0.2">
      <c r="A73" s="186"/>
      <c r="B73" s="212" t="s">
        <v>190</v>
      </c>
      <c r="C73" s="213"/>
      <c r="D73" s="61" t="s">
        <v>125</v>
      </c>
      <c r="E73" s="68"/>
      <c r="F73" s="209"/>
      <c r="G73" s="210"/>
      <c r="H73" s="211"/>
      <c r="I73" s="35"/>
      <c r="K73" s="134"/>
      <c r="L73" s="8"/>
      <c r="M73" s="8">
        <f>IF(AND($F73="kommt ausreichend vor",$I73="nicht erfüllt"),0,1)</f>
        <v>1</v>
      </c>
      <c r="N73" s="123" t="str">
        <f>IF(COUNTIF($H71:$H73,"kommt nicht ausreichend vor")=3,"inaktiv",IF(SUM($M71:$M73)=3,"OK","KO"))</f>
        <v>OK</v>
      </c>
      <c r="R73" s="73"/>
      <c r="V73" s="71"/>
      <c r="W73" s="71"/>
      <c r="X73" s="71"/>
      <c r="Y73" s="71"/>
      <c r="Z73" s="71"/>
    </row>
    <row r="74" spans="1:26" ht="9.9499999999999993" customHeight="1" x14ac:dyDescent="0.2">
      <c r="A74" s="175"/>
      <c r="B74" s="176"/>
      <c r="C74" s="176"/>
      <c r="D74" s="176"/>
      <c r="E74" s="176"/>
      <c r="F74" s="176"/>
      <c r="G74" s="176"/>
      <c r="H74" s="176"/>
      <c r="I74" s="177"/>
      <c r="K74" s="175"/>
      <c r="L74" s="176"/>
      <c r="M74" s="176"/>
      <c r="N74" s="177"/>
      <c r="V74" s="71"/>
      <c r="W74" s="71"/>
      <c r="X74" s="71"/>
      <c r="Y74" s="71"/>
      <c r="Z74" s="71"/>
    </row>
    <row r="75" spans="1:26" ht="26.45" customHeight="1" x14ac:dyDescent="0.2">
      <c r="A75" s="185" t="s">
        <v>412</v>
      </c>
      <c r="B75" s="220" t="s">
        <v>192</v>
      </c>
      <c r="C75" s="221"/>
      <c r="D75" s="221"/>
      <c r="E75" s="222"/>
      <c r="F75" s="214" t="s">
        <v>19</v>
      </c>
      <c r="G75" s="215"/>
      <c r="H75" s="215"/>
      <c r="I75" s="216"/>
      <c r="K75" s="12"/>
      <c r="L75" s="9"/>
      <c r="M75" s="9"/>
      <c r="N75" s="10"/>
      <c r="V75" s="71"/>
      <c r="W75" s="71"/>
      <c r="X75" s="71"/>
      <c r="Y75" s="71"/>
      <c r="Z75" s="71"/>
    </row>
    <row r="76" spans="1:26" ht="26.45" customHeight="1" x14ac:dyDescent="0.2">
      <c r="A76" s="186"/>
      <c r="B76" s="223" t="s">
        <v>411</v>
      </c>
      <c r="C76" s="224"/>
      <c r="D76" s="224"/>
      <c r="E76" s="225"/>
      <c r="F76" s="217" t="s">
        <v>33</v>
      </c>
      <c r="G76" s="218"/>
      <c r="H76" s="218"/>
      <c r="I76" s="219"/>
      <c r="K76" s="134"/>
      <c r="L76" s="8"/>
      <c r="M76" s="8"/>
      <c r="N76" s="123" t="str">
        <f>IF(F75="nein","inaktiv",IF(F76="erfüllt","OK","KO"))</f>
        <v>inaktiv</v>
      </c>
      <c r="V76" s="71"/>
      <c r="W76" s="71"/>
      <c r="X76" s="71"/>
      <c r="Y76" s="71"/>
      <c r="Z76" s="71"/>
    </row>
    <row r="77" spans="1:26" ht="4.5" customHeight="1" x14ac:dyDescent="0.2">
      <c r="N77" s="71"/>
    </row>
  </sheetData>
  <sheetProtection algorithmName="SHA-512" hashValue="Stk5FkG8ngx2g+45rt6K1UluIZO83B8JpHqJcSgMywJVLs4iCBjZFrJlRC1HMxd1tiSYQ0DL8wwFt+Nyvz3srQ==" saltValue="B4JPb7Z+y6WvHodeJdzscg==" spinCount="100000" sheet="1" selectLockedCells="1"/>
  <mergeCells count="56">
    <mergeCell ref="A46:A55"/>
    <mergeCell ref="A57:A69"/>
    <mergeCell ref="K55:L55"/>
    <mergeCell ref="F71:H71"/>
    <mergeCell ref="B46:B55"/>
    <mergeCell ref="D57:G57"/>
    <mergeCell ref="D58:G58"/>
    <mergeCell ref="D59:G59"/>
    <mergeCell ref="K70:N70"/>
    <mergeCell ref="K74:N74"/>
    <mergeCell ref="A74:I74"/>
    <mergeCell ref="A70:C70"/>
    <mergeCell ref="G70:I70"/>
    <mergeCell ref="A75:A76"/>
    <mergeCell ref="F73:H73"/>
    <mergeCell ref="B73:C73"/>
    <mergeCell ref="F75:I75"/>
    <mergeCell ref="F76:I76"/>
    <mergeCell ref="B75:E75"/>
    <mergeCell ref="B76:E76"/>
    <mergeCell ref="A71:A73"/>
    <mergeCell ref="F72:H72"/>
    <mergeCell ref="B72:C72"/>
    <mergeCell ref="B71:C71"/>
    <mergeCell ref="A1:B1"/>
    <mergeCell ref="B10:B44"/>
    <mergeCell ref="K5:L5"/>
    <mergeCell ref="A7:A8"/>
    <mergeCell ref="F5:H5"/>
    <mergeCell ref="F7:H7"/>
    <mergeCell ref="F8:H8"/>
    <mergeCell ref="A10:A44"/>
    <mergeCell ref="K44:L44"/>
    <mergeCell ref="A2:B2"/>
    <mergeCell ref="E2:H2"/>
    <mergeCell ref="E1:H1"/>
    <mergeCell ref="D5:E5"/>
    <mergeCell ref="A3:B3"/>
    <mergeCell ref="F44:G44"/>
    <mergeCell ref="E3:I3"/>
    <mergeCell ref="K1:N3"/>
    <mergeCell ref="K68:N68"/>
    <mergeCell ref="K67:N67"/>
    <mergeCell ref="K66:N66"/>
    <mergeCell ref="D60:G60"/>
    <mergeCell ref="D62:G62"/>
    <mergeCell ref="D63:G63"/>
    <mergeCell ref="D64:G64"/>
    <mergeCell ref="C44:D44"/>
    <mergeCell ref="C54:D54"/>
    <mergeCell ref="C55:D55"/>
    <mergeCell ref="F54:G54"/>
    <mergeCell ref="F55:G55"/>
    <mergeCell ref="C56:I56"/>
    <mergeCell ref="K56:N56"/>
    <mergeCell ref="A6:I6"/>
  </mergeCells>
  <phoneticPr fontId="0" type="noConversion"/>
  <conditionalFormatting sqref="C1">
    <cfRule type="cellIs" dxfId="221" priority="130" stopIfTrue="1" operator="lessThan">
      <formula>1</formula>
    </cfRule>
    <cfRule type="cellIs" dxfId="220" priority="131" stopIfTrue="1" operator="greaterThan">
      <formula>400</formula>
    </cfRule>
  </conditionalFormatting>
  <conditionalFormatting sqref="D10:D43 D46:D53 D71:E73">
    <cfRule type="cellIs" dxfId="219" priority="278" stopIfTrue="1" operator="equal">
      <formula>"b"</formula>
    </cfRule>
    <cfRule type="cellIs" dxfId="218" priority="277" stopIfTrue="1" operator="equal">
      <formula>"l"</formula>
    </cfRule>
    <cfRule type="cellIs" dxfId="217" priority="279" stopIfTrue="1" operator="equal">
      <formula>"s"</formula>
    </cfRule>
  </conditionalFormatting>
  <conditionalFormatting sqref="F7:H7">
    <cfRule type="cellIs" dxfId="216" priority="128" operator="greaterThan">
      <formula>60</formula>
    </cfRule>
  </conditionalFormatting>
  <conditionalFormatting sqref="F8:H8">
    <cfRule type="cellIs" dxfId="215" priority="127" operator="greaterThan">
      <formula>100</formula>
    </cfRule>
    <cfRule type="cellIs" dxfId="214" priority="126" operator="greaterThan">
      <formula>98</formula>
    </cfRule>
  </conditionalFormatting>
  <conditionalFormatting sqref="G10:G43">
    <cfRule type="cellIs" dxfId="213" priority="125" operator="greaterThan">
      <formula>100</formula>
    </cfRule>
  </conditionalFormatting>
  <conditionalFormatting sqref="G46:G53">
    <cfRule type="cellIs" dxfId="212" priority="124" operator="greaterThan">
      <formula>100</formula>
    </cfRule>
  </conditionalFormatting>
  <conditionalFormatting sqref="H57:H60">
    <cfRule type="cellIs" dxfId="211" priority="6" operator="greaterThan">
      <formula>250</formula>
    </cfRule>
  </conditionalFormatting>
  <conditionalFormatting sqref="H62:H64">
    <cfRule type="cellIs" dxfId="210" priority="3" operator="greaterThan">
      <formula>250</formula>
    </cfRule>
  </conditionalFormatting>
  <conditionalFormatting sqref="I1">
    <cfRule type="expression" dxfId="209" priority="280">
      <formula>$I$1&lt;SUM($I$10:$I$44,$I$46:$I$55)</formula>
    </cfRule>
  </conditionalFormatting>
  <conditionalFormatting sqref="K67:N67">
    <cfRule type="cellIs" dxfId="208" priority="2" operator="equal">
      <formula>"inaktiv"</formula>
    </cfRule>
  </conditionalFormatting>
  <conditionalFormatting sqref="K68:N68">
    <cfRule type="cellIs" dxfId="207" priority="1" operator="equal">
      <formula>"nicht nachgewiesen"</formula>
    </cfRule>
  </conditionalFormatting>
  <conditionalFormatting sqref="N8 N44 N55 N69 N71">
    <cfRule type="cellIs" dxfId="206" priority="272" stopIfTrue="1" operator="equal">
      <formula>1</formula>
    </cfRule>
    <cfRule type="cellIs" dxfId="205" priority="273" stopIfTrue="1" operator="equal">
      <formula>2</formula>
    </cfRule>
    <cfRule type="cellIs" dxfId="204" priority="274" stopIfTrue="1" operator="equal">
      <formula>5</formula>
    </cfRule>
  </conditionalFormatting>
  <conditionalFormatting sqref="N8">
    <cfRule type="cellIs" dxfId="203" priority="271" stopIfTrue="1" operator="equal">
      <formula>4</formula>
    </cfRule>
    <cfRule type="cellIs" dxfId="202" priority="270" stopIfTrue="1" operator="equal">
      <formula>3</formula>
    </cfRule>
    <cfRule type="cellIs" dxfId="201" priority="218" stopIfTrue="1" operator="equal">
      <formula>"OK"</formula>
    </cfRule>
    <cfRule type="cellIs" dxfId="200" priority="258" stopIfTrue="1" operator="equal">
      <formula>"KO"</formula>
    </cfRule>
  </conditionalFormatting>
  <conditionalFormatting sqref="N44">
    <cfRule type="cellIs" dxfId="199" priority="269" stopIfTrue="1" operator="equal">
      <formula>4</formula>
    </cfRule>
    <cfRule type="cellIs" dxfId="198" priority="268" stopIfTrue="1" operator="equal">
      <formula>3</formula>
    </cfRule>
    <cfRule type="cellIs" dxfId="197" priority="217" stopIfTrue="1" operator="equal">
      <formula>4</formula>
    </cfRule>
    <cfRule type="cellIs" dxfId="196" priority="216" stopIfTrue="1" operator="equal">
      <formula>3</formula>
    </cfRule>
    <cfRule type="cellIs" dxfId="195" priority="215" stopIfTrue="1" operator="equal">
      <formula>"KO"</formula>
    </cfRule>
    <cfRule type="cellIs" dxfId="194" priority="214" stopIfTrue="1" operator="equal">
      <formula>"OK"</formula>
    </cfRule>
    <cfRule type="cellIs" dxfId="193" priority="255" stopIfTrue="1" operator="equal">
      <formula>"KO"</formula>
    </cfRule>
    <cfRule type="cellIs" dxfId="192" priority="256" stopIfTrue="1" operator="equal">
      <formula>3</formula>
    </cfRule>
    <cfRule type="cellIs" dxfId="191" priority="257" stopIfTrue="1" operator="equal">
      <formula>4</formula>
    </cfRule>
  </conditionalFormatting>
  <conditionalFormatting sqref="N55">
    <cfRule type="cellIs" dxfId="190" priority="267" stopIfTrue="1" operator="equal">
      <formula>4</formula>
    </cfRule>
    <cfRule type="cellIs" dxfId="189" priority="266" stopIfTrue="1" operator="equal">
      <formula>3</formula>
    </cfRule>
    <cfRule type="cellIs" dxfId="188" priority="212" stopIfTrue="1" operator="equal">
      <formula>3</formula>
    </cfRule>
    <cfRule type="cellIs" dxfId="187" priority="209" stopIfTrue="1" operator="equal">
      <formula>"KO"</formula>
    </cfRule>
    <cfRule type="cellIs" dxfId="186" priority="211" stopIfTrue="1" operator="equal">
      <formula>4</formula>
    </cfRule>
    <cfRule type="cellIs" dxfId="185" priority="208" stopIfTrue="1" operator="equal">
      <formula>4</formula>
    </cfRule>
    <cfRule type="cellIs" dxfId="184" priority="207" stopIfTrue="1" operator="equal">
      <formula>3</formula>
    </cfRule>
    <cfRule type="cellIs" dxfId="183" priority="206" stopIfTrue="1" operator="equal">
      <formula>"KO"</formula>
    </cfRule>
    <cfRule type="cellIs" dxfId="182" priority="205" stopIfTrue="1" operator="equal">
      <formula>"OK"</formula>
    </cfRule>
    <cfRule type="cellIs" dxfId="181" priority="213" stopIfTrue="1" operator="equal">
      <formula>4</formula>
    </cfRule>
    <cfRule type="cellIs" dxfId="180" priority="250" stopIfTrue="1" operator="equal">
      <formula>"KO"</formula>
    </cfRule>
    <cfRule type="cellIs" dxfId="179" priority="251" stopIfTrue="1" operator="equal">
      <formula>3</formula>
    </cfRule>
    <cfRule type="cellIs" dxfId="178" priority="252" stopIfTrue="1" operator="equal">
      <formula>4</formula>
    </cfRule>
    <cfRule type="cellIs" dxfId="177" priority="253" stopIfTrue="1" operator="equal">
      <formula>3</formula>
    </cfRule>
    <cfRule type="cellIs" dxfId="176" priority="254" stopIfTrue="1" operator="equal">
      <formula>4</formula>
    </cfRule>
    <cfRule type="cellIs" dxfId="175" priority="210" stopIfTrue="1" operator="equal">
      <formula>3</formula>
    </cfRule>
  </conditionalFormatting>
  <conditionalFormatting sqref="N69">
    <cfRule type="cellIs" dxfId="174" priority="200" stopIfTrue="1" operator="equal">
      <formula>4</formula>
    </cfRule>
    <cfRule type="cellIs" dxfId="173" priority="199" stopIfTrue="1" operator="equal">
      <formula>3</formula>
    </cfRule>
    <cfRule type="cellIs" dxfId="172" priority="198" stopIfTrue="1" operator="equal">
      <formula>"KO"</formula>
    </cfRule>
    <cfRule type="cellIs" dxfId="171" priority="264" stopIfTrue="1" operator="equal">
      <formula>3</formula>
    </cfRule>
    <cfRule type="cellIs" dxfId="170" priority="196" stopIfTrue="1" operator="equal">
      <formula>3</formula>
    </cfRule>
    <cfRule type="cellIs" dxfId="169" priority="195" stopIfTrue="1" operator="equal">
      <formula>4</formula>
    </cfRule>
    <cfRule type="cellIs" dxfId="168" priority="194" stopIfTrue="1" operator="equal">
      <formula>3</formula>
    </cfRule>
    <cfRule type="cellIs" dxfId="167" priority="193" stopIfTrue="1" operator="equal">
      <formula>"KO"</formula>
    </cfRule>
    <cfRule type="cellIs" dxfId="166" priority="192" stopIfTrue="1" operator="equal">
      <formula>4</formula>
    </cfRule>
    <cfRule type="cellIs" dxfId="165" priority="191" stopIfTrue="1" operator="equal">
      <formula>3</formula>
    </cfRule>
    <cfRule type="cellIs" dxfId="164" priority="190" stopIfTrue="1" operator="equal">
      <formula>"KO"</formula>
    </cfRule>
    <cfRule type="cellIs" dxfId="163" priority="189" stopIfTrue="1" operator="equal">
      <formula>"OK"</formula>
    </cfRule>
    <cfRule type="cellIs" dxfId="162" priority="265" stopIfTrue="1" operator="equal">
      <formula>4</formula>
    </cfRule>
    <cfRule type="cellIs" dxfId="161" priority="247" stopIfTrue="1" operator="equal">
      <formula>4</formula>
    </cfRule>
    <cfRule type="cellIs" dxfId="160" priority="249" stopIfTrue="1" operator="equal">
      <formula>4</formula>
    </cfRule>
    <cfRule type="cellIs" dxfId="159" priority="248" stopIfTrue="1" operator="equal">
      <formula>3</formula>
    </cfRule>
    <cfRule type="cellIs" dxfId="158" priority="246" stopIfTrue="1" operator="equal">
      <formula>3</formula>
    </cfRule>
    <cfRule type="cellIs" dxfId="157" priority="245" stopIfTrue="1" operator="equal">
      <formula>4</formula>
    </cfRule>
    <cfRule type="cellIs" dxfId="156" priority="197" stopIfTrue="1" operator="equal">
      <formula>4</formula>
    </cfRule>
    <cfRule type="cellIs" dxfId="155" priority="244" stopIfTrue="1" operator="equal">
      <formula>3</formula>
    </cfRule>
    <cfRule type="cellIs" dxfId="154" priority="243" stopIfTrue="1" operator="equal">
      <formula>"KO"</formula>
    </cfRule>
    <cfRule type="cellIs" dxfId="153" priority="204" stopIfTrue="1" operator="equal">
      <formula>4</formula>
    </cfRule>
    <cfRule type="cellIs" dxfId="152" priority="203" stopIfTrue="1" operator="equal">
      <formula>3</formula>
    </cfRule>
    <cfRule type="cellIs" dxfId="151" priority="202" stopIfTrue="1" operator="equal">
      <formula>4</formula>
    </cfRule>
    <cfRule type="cellIs" dxfId="150" priority="201" stopIfTrue="1" operator="equal">
      <formula>3</formula>
    </cfRule>
  </conditionalFormatting>
  <conditionalFormatting sqref="N73">
    <cfRule type="cellIs" dxfId="149" priority="175" stopIfTrue="1" operator="equal">
      <formula>3</formula>
    </cfRule>
    <cfRule type="cellIs" dxfId="148" priority="174" stopIfTrue="1" operator="equal">
      <formula>4</formula>
    </cfRule>
    <cfRule type="cellIs" dxfId="147" priority="173" stopIfTrue="1" operator="equal">
      <formula>3</formula>
    </cfRule>
    <cfRule type="cellIs" dxfId="146" priority="188" stopIfTrue="1" operator="equal">
      <formula>5</formula>
    </cfRule>
    <cfRule type="cellIs" dxfId="145" priority="171" stopIfTrue="1" operator="equal">
      <formula>3</formula>
    </cfRule>
    <cfRule type="cellIs" dxfId="144" priority="169" stopIfTrue="1" operator="equal">
      <formula>4</formula>
    </cfRule>
    <cfRule type="cellIs" dxfId="143" priority="168" stopIfTrue="1" operator="equal">
      <formula>3</formula>
    </cfRule>
    <cfRule type="cellIs" dxfId="142" priority="170" stopIfTrue="1" operator="equal">
      <formula>"KO"</formula>
    </cfRule>
    <cfRule type="cellIs" dxfId="141" priority="167" stopIfTrue="1" operator="equal">
      <formula>4</formula>
    </cfRule>
    <cfRule type="cellIs" dxfId="140" priority="166" stopIfTrue="1" operator="equal">
      <formula>3</formula>
    </cfRule>
    <cfRule type="cellIs" dxfId="139" priority="165" stopIfTrue="1" operator="equal">
      <formula>"KO"</formula>
    </cfRule>
    <cfRule type="cellIs" dxfId="138" priority="164" stopIfTrue="1" operator="equal">
      <formula>4</formula>
    </cfRule>
    <cfRule type="cellIs" dxfId="137" priority="163" stopIfTrue="1" operator="equal">
      <formula>3</formula>
    </cfRule>
    <cfRule type="cellIs" dxfId="136" priority="162" stopIfTrue="1" operator="equal">
      <formula>"KO"</formula>
    </cfRule>
    <cfRule type="cellIs" dxfId="135" priority="161" stopIfTrue="1" operator="equal">
      <formula>"OK"</formula>
    </cfRule>
    <cfRule type="cellIs" dxfId="134" priority="187" stopIfTrue="1" operator="equal">
      <formula>2</formula>
    </cfRule>
    <cfRule type="cellIs" dxfId="133" priority="186" stopIfTrue="1" operator="equal">
      <formula>1</formula>
    </cfRule>
    <cfRule type="cellIs" dxfId="132" priority="185" stopIfTrue="1" operator="equal">
      <formula>4</formula>
    </cfRule>
    <cfRule type="cellIs" dxfId="131" priority="184" stopIfTrue="1" operator="equal">
      <formula>3</formula>
    </cfRule>
    <cfRule type="cellIs" dxfId="130" priority="183" stopIfTrue="1" operator="equal">
      <formula>4</formula>
    </cfRule>
    <cfRule type="cellIs" dxfId="129" priority="182" stopIfTrue="1" operator="equal">
      <formula>3</formula>
    </cfRule>
    <cfRule type="cellIs" dxfId="128" priority="181" stopIfTrue="1" operator="equal">
      <formula>4</formula>
    </cfRule>
    <cfRule type="cellIs" dxfId="127" priority="180" stopIfTrue="1" operator="equal">
      <formula>3</formula>
    </cfRule>
    <cfRule type="cellIs" dxfId="126" priority="179" stopIfTrue="1" operator="equal">
      <formula>4</formula>
    </cfRule>
    <cfRule type="cellIs" dxfId="125" priority="178" stopIfTrue="1" operator="equal">
      <formula>3</formula>
    </cfRule>
    <cfRule type="cellIs" dxfId="124" priority="177" stopIfTrue="1" operator="equal">
      <formula>"KO"</formula>
    </cfRule>
    <cfRule type="cellIs" dxfId="123" priority="176" stopIfTrue="1" operator="equal">
      <formula>4</formula>
    </cfRule>
    <cfRule type="cellIs" dxfId="122" priority="172" stopIfTrue="1" operator="equal">
      <formula>4</formula>
    </cfRule>
  </conditionalFormatting>
  <conditionalFormatting sqref="N76">
    <cfRule type="cellIs" dxfId="121" priority="139" stopIfTrue="1" operator="equal">
      <formula>4</formula>
    </cfRule>
    <cfRule type="cellIs" dxfId="120" priority="140" stopIfTrue="1" operator="equal">
      <formula>3</formula>
    </cfRule>
    <cfRule type="cellIs" dxfId="119" priority="141" stopIfTrue="1" operator="equal">
      <formula>4</formula>
    </cfRule>
    <cfRule type="cellIs" dxfId="118" priority="142" stopIfTrue="1" operator="equal">
      <formula>"KO"</formula>
    </cfRule>
    <cfRule type="cellIs" dxfId="117" priority="143" stopIfTrue="1" operator="equal">
      <formula>3</formula>
    </cfRule>
    <cfRule type="cellIs" dxfId="116" priority="144" stopIfTrue="1" operator="equal">
      <formula>4</formula>
    </cfRule>
    <cfRule type="cellIs" dxfId="115" priority="145" stopIfTrue="1" operator="equal">
      <formula>3</formula>
    </cfRule>
    <cfRule type="cellIs" dxfId="114" priority="146" stopIfTrue="1" operator="equal">
      <formula>4</formula>
    </cfRule>
    <cfRule type="cellIs" dxfId="113" priority="147" stopIfTrue="1" operator="equal">
      <formula>3</formula>
    </cfRule>
    <cfRule type="cellIs" dxfId="112" priority="148" stopIfTrue="1" operator="equal">
      <formula>4</formula>
    </cfRule>
    <cfRule type="cellIs" dxfId="111" priority="149" stopIfTrue="1" operator="equal">
      <formula>"KO"</formula>
    </cfRule>
    <cfRule type="cellIs" dxfId="110" priority="150" stopIfTrue="1" operator="equal">
      <formula>3</formula>
    </cfRule>
    <cfRule type="cellIs" dxfId="109" priority="151" stopIfTrue="1" operator="equal">
      <formula>4</formula>
    </cfRule>
    <cfRule type="cellIs" dxfId="108" priority="152" stopIfTrue="1" operator="equal">
      <formula>3</formula>
    </cfRule>
    <cfRule type="cellIs" dxfId="107" priority="153" stopIfTrue="1" operator="equal">
      <formula>4</formula>
    </cfRule>
    <cfRule type="cellIs" dxfId="106" priority="154" stopIfTrue="1" operator="equal">
      <formula>3</formula>
    </cfRule>
    <cfRule type="cellIs" dxfId="105" priority="155" stopIfTrue="1" operator="equal">
      <formula>4</formula>
    </cfRule>
    <cfRule type="cellIs" dxfId="104" priority="156" stopIfTrue="1" operator="equal">
      <formula>3</formula>
    </cfRule>
    <cfRule type="cellIs" dxfId="103" priority="157" stopIfTrue="1" operator="equal">
      <formula>4</formula>
    </cfRule>
    <cfRule type="cellIs" dxfId="102" priority="158" stopIfTrue="1" operator="equal">
      <formula>1</formula>
    </cfRule>
    <cfRule type="cellIs" dxfId="101" priority="159" stopIfTrue="1" operator="equal">
      <formula>2</formula>
    </cfRule>
    <cfRule type="cellIs" dxfId="100" priority="160" stopIfTrue="1" operator="equal">
      <formula>5</formula>
    </cfRule>
    <cfRule type="cellIs" dxfId="99" priority="133" stopIfTrue="1" operator="equal">
      <formula>"OK"</formula>
    </cfRule>
    <cfRule type="cellIs" dxfId="98" priority="134" stopIfTrue="1" operator="equal">
      <formula>"KO"</formula>
    </cfRule>
    <cfRule type="cellIs" dxfId="97" priority="135" stopIfTrue="1" operator="equal">
      <formula>3</formula>
    </cfRule>
    <cfRule type="cellIs" dxfId="96" priority="136" stopIfTrue="1" operator="equal">
      <formula>4</formula>
    </cfRule>
    <cfRule type="cellIs" dxfId="95" priority="137" stopIfTrue="1" operator="equal">
      <formula>"KO"</formula>
    </cfRule>
    <cfRule type="cellIs" dxfId="94" priority="138" stopIfTrue="1" operator="equal">
      <formula>3</formula>
    </cfRule>
  </conditionalFormatting>
  <conditionalFormatting sqref="R44">
    <cfRule type="cellIs" dxfId="93" priority="116" stopIfTrue="1" operator="equal">
      <formula>3</formula>
    </cfRule>
    <cfRule type="cellIs" dxfId="92" priority="114" stopIfTrue="1" operator="equal">
      <formula>4</formula>
    </cfRule>
    <cfRule type="cellIs" dxfId="91" priority="113" stopIfTrue="1" operator="equal">
      <formula>3</formula>
    </cfRule>
    <cfRule type="cellIs" dxfId="90" priority="115" stopIfTrue="1" operator="equal">
      <formula>"KO"</formula>
    </cfRule>
    <cfRule type="cellIs" dxfId="89" priority="112" stopIfTrue="1" operator="equal">
      <formula>"KO"</formula>
    </cfRule>
    <cfRule type="cellIs" dxfId="88" priority="111" stopIfTrue="1" operator="equal">
      <formula>"OK"</formula>
    </cfRule>
    <cfRule type="cellIs" dxfId="87" priority="118" stopIfTrue="1" operator="equal">
      <formula>3</formula>
    </cfRule>
    <cfRule type="cellIs" dxfId="86" priority="119" stopIfTrue="1" operator="equal">
      <formula>4</formula>
    </cfRule>
    <cfRule type="cellIs" dxfId="85" priority="120" stopIfTrue="1" operator="equal">
      <formula>1</formula>
    </cfRule>
    <cfRule type="cellIs" dxfId="84" priority="121" stopIfTrue="1" operator="equal">
      <formula>2</formula>
    </cfRule>
    <cfRule type="cellIs" dxfId="83" priority="122" stopIfTrue="1" operator="equal">
      <formula>5</formula>
    </cfRule>
    <cfRule type="cellIs" dxfId="82" priority="117" stopIfTrue="1" operator="equal">
      <formula>4</formula>
    </cfRule>
  </conditionalFormatting>
  <conditionalFormatting sqref="R55">
    <cfRule type="cellIs" dxfId="81" priority="85" stopIfTrue="1" operator="equal">
      <formula>3</formula>
    </cfRule>
    <cfRule type="cellIs" dxfId="80" priority="84" stopIfTrue="1" operator="equal">
      <formula>4</formula>
    </cfRule>
    <cfRule type="cellIs" dxfId="79" priority="83" stopIfTrue="1" operator="equal">
      <formula>3</formula>
    </cfRule>
    <cfRule type="cellIs" dxfId="78" priority="82" stopIfTrue="1" operator="equal">
      <formula>"KO"</formula>
    </cfRule>
    <cfRule type="cellIs" dxfId="77" priority="75" stopIfTrue="1" operator="equal">
      <formula>3</formula>
    </cfRule>
    <cfRule type="cellIs" dxfId="76" priority="81" stopIfTrue="1" operator="equal">
      <formula>4</formula>
    </cfRule>
    <cfRule type="cellIs" dxfId="75" priority="80" stopIfTrue="1" operator="equal">
      <formula>3</formula>
    </cfRule>
    <cfRule type="cellIs" dxfId="74" priority="79" stopIfTrue="1" operator="equal">
      <formula>4</formula>
    </cfRule>
    <cfRule type="cellIs" dxfId="73" priority="78" stopIfTrue="1" operator="equal">
      <formula>3</formula>
    </cfRule>
    <cfRule type="cellIs" dxfId="72" priority="77" stopIfTrue="1" operator="equal">
      <formula>"KO"</formula>
    </cfRule>
    <cfRule type="cellIs" dxfId="71" priority="88" stopIfTrue="1" operator="equal">
      <formula>4</formula>
    </cfRule>
    <cfRule type="cellIs" dxfId="70" priority="73" stopIfTrue="1" operator="equal">
      <formula>"OK"</formula>
    </cfRule>
    <cfRule type="cellIs" dxfId="69" priority="74" stopIfTrue="1" operator="equal">
      <formula>"KO"</formula>
    </cfRule>
    <cfRule type="cellIs" dxfId="68" priority="91" stopIfTrue="1" operator="equal">
      <formula>5</formula>
    </cfRule>
    <cfRule type="cellIs" dxfId="67" priority="90" stopIfTrue="1" operator="equal">
      <formula>2</formula>
    </cfRule>
    <cfRule type="cellIs" dxfId="66" priority="89" stopIfTrue="1" operator="equal">
      <formula>1</formula>
    </cfRule>
    <cfRule type="cellIs" dxfId="65" priority="76" stopIfTrue="1" operator="equal">
      <formula>4</formula>
    </cfRule>
    <cfRule type="cellIs" dxfId="64" priority="87" stopIfTrue="1" operator="equal">
      <formula>3</formula>
    </cfRule>
    <cfRule type="cellIs" dxfId="63" priority="86" stopIfTrue="1" operator="equal">
      <formula>4</formula>
    </cfRule>
  </conditionalFormatting>
  <conditionalFormatting sqref="R73">
    <cfRule type="cellIs" dxfId="62" priority="25" stopIfTrue="1" operator="equal">
      <formula>4</formula>
    </cfRule>
    <cfRule type="cellIs" dxfId="61" priority="24" stopIfTrue="1" operator="equal">
      <formula>3</formula>
    </cfRule>
    <cfRule type="cellIs" dxfId="60" priority="23" stopIfTrue="1" operator="equal">
      <formula>4</formula>
    </cfRule>
    <cfRule type="cellIs" dxfId="59" priority="22" stopIfTrue="1" operator="equal">
      <formula>3</formula>
    </cfRule>
    <cfRule type="cellIs" dxfId="58" priority="21" stopIfTrue="1" operator="equal">
      <formula>"KO"</formula>
    </cfRule>
    <cfRule type="cellIs" dxfId="57" priority="20" stopIfTrue="1" operator="equal">
      <formula>4</formula>
    </cfRule>
    <cfRule type="cellIs" dxfId="56" priority="19" stopIfTrue="1" operator="equal">
      <formula>3</formula>
    </cfRule>
    <cfRule type="cellIs" dxfId="55" priority="18" stopIfTrue="1" operator="equal">
      <formula>"KO"</formula>
    </cfRule>
    <cfRule type="cellIs" dxfId="54" priority="17" stopIfTrue="1" operator="equal">
      <formula>"OK"</formula>
    </cfRule>
    <cfRule type="cellIs" dxfId="53" priority="34" stopIfTrue="1" operator="equal">
      <formula>3</formula>
    </cfRule>
    <cfRule type="cellIs" dxfId="52" priority="26" stopIfTrue="1" operator="equal">
      <formula>"KO"</formula>
    </cfRule>
    <cfRule type="cellIs" dxfId="51" priority="44" stopIfTrue="1" operator="equal">
      <formula>5</formula>
    </cfRule>
    <cfRule type="cellIs" dxfId="50" priority="43" stopIfTrue="1" operator="equal">
      <formula>2</formula>
    </cfRule>
    <cfRule type="cellIs" dxfId="49" priority="42" stopIfTrue="1" operator="equal">
      <formula>1</formula>
    </cfRule>
    <cfRule type="cellIs" dxfId="48" priority="41" stopIfTrue="1" operator="equal">
      <formula>4</formula>
    </cfRule>
    <cfRule type="cellIs" dxfId="47" priority="40" stopIfTrue="1" operator="equal">
      <formula>3</formula>
    </cfRule>
    <cfRule type="cellIs" dxfId="46" priority="39" stopIfTrue="1" operator="equal">
      <formula>4</formula>
    </cfRule>
    <cfRule type="cellIs" dxfId="45" priority="38" stopIfTrue="1" operator="equal">
      <formula>3</formula>
    </cfRule>
    <cfRule type="cellIs" dxfId="44" priority="37" stopIfTrue="1" operator="equal">
      <formula>4</formula>
    </cfRule>
    <cfRule type="cellIs" dxfId="43" priority="36" stopIfTrue="1" operator="equal">
      <formula>3</formula>
    </cfRule>
    <cfRule type="cellIs" dxfId="42" priority="35" stopIfTrue="1" operator="equal">
      <formula>4</formula>
    </cfRule>
    <cfRule type="cellIs" dxfId="41" priority="33" stopIfTrue="1" operator="equal">
      <formula>"KO"</formula>
    </cfRule>
    <cfRule type="cellIs" dxfId="40" priority="32" stopIfTrue="1" operator="equal">
      <formula>4</formula>
    </cfRule>
    <cfRule type="cellIs" dxfId="39" priority="31" stopIfTrue="1" operator="equal">
      <formula>3</formula>
    </cfRule>
    <cfRule type="cellIs" dxfId="38" priority="30" stopIfTrue="1" operator="equal">
      <formula>4</formula>
    </cfRule>
    <cfRule type="cellIs" dxfId="37" priority="29" stopIfTrue="1" operator="equal">
      <formula>3</formula>
    </cfRule>
    <cfRule type="cellIs" dxfId="36" priority="28" stopIfTrue="1" operator="equal">
      <formula>4</formula>
    </cfRule>
    <cfRule type="cellIs" dxfId="35" priority="27" stopIfTrue="1" operator="equal">
      <formula>3</formula>
    </cfRule>
  </conditionalFormatting>
  <conditionalFormatting sqref="T55">
    <cfRule type="cellIs" dxfId="34" priority="110" stopIfTrue="1" operator="equal">
      <formula>5</formula>
    </cfRule>
    <cfRule type="cellIs" dxfId="33" priority="109" stopIfTrue="1" operator="equal">
      <formula>2</formula>
    </cfRule>
    <cfRule type="cellIs" dxfId="32" priority="108" stopIfTrue="1" operator="equal">
      <formula>1</formula>
    </cfRule>
    <cfRule type="cellIs" dxfId="31" priority="107" stopIfTrue="1" operator="equal">
      <formula>4</formula>
    </cfRule>
    <cfRule type="cellIs" dxfId="30" priority="105" stopIfTrue="1" operator="equal">
      <formula>4</formula>
    </cfRule>
    <cfRule type="cellIs" dxfId="29" priority="104" stopIfTrue="1" operator="equal">
      <formula>3</formula>
    </cfRule>
    <cfRule type="cellIs" dxfId="28" priority="103" stopIfTrue="1" operator="equal">
      <formula>4</formula>
    </cfRule>
    <cfRule type="cellIs" dxfId="27" priority="102" stopIfTrue="1" operator="equal">
      <formula>3</formula>
    </cfRule>
    <cfRule type="cellIs" dxfId="26" priority="101" stopIfTrue="1" operator="equal">
      <formula>"KO"</formula>
    </cfRule>
    <cfRule type="cellIs" dxfId="25" priority="92" stopIfTrue="1" operator="equal">
      <formula>"OK"</formula>
    </cfRule>
    <cfRule type="cellIs" dxfId="24" priority="93" stopIfTrue="1" operator="equal">
      <formula>"KO"</formula>
    </cfRule>
    <cfRule type="cellIs" dxfId="23" priority="95" stopIfTrue="1" operator="equal">
      <formula>4</formula>
    </cfRule>
    <cfRule type="cellIs" dxfId="22" priority="94" stopIfTrue="1" operator="equal">
      <formula>3</formula>
    </cfRule>
    <cfRule type="cellIs" dxfId="21" priority="106" stopIfTrue="1" operator="equal">
      <formula>3</formula>
    </cfRule>
    <cfRule type="cellIs" dxfId="20" priority="96" stopIfTrue="1" operator="equal">
      <formula>"KO"</formula>
    </cfRule>
    <cfRule type="cellIs" dxfId="19" priority="97" stopIfTrue="1" operator="equal">
      <formula>3</formula>
    </cfRule>
    <cfRule type="cellIs" dxfId="18" priority="98" stopIfTrue="1" operator="equal">
      <formula>4</formula>
    </cfRule>
    <cfRule type="cellIs" dxfId="17" priority="99" stopIfTrue="1" operator="equal">
      <formula>3</formula>
    </cfRule>
    <cfRule type="cellIs" dxfId="16" priority="100" stopIfTrue="1" operator="equal">
      <formula>4</formula>
    </cfRule>
  </conditionalFormatting>
  <dataValidations count="8">
    <dataValidation type="list" allowBlank="1" showInputMessage="1" showErrorMessage="1" sqref="C57" xr:uid="{00000000-0002-0000-0000-000000000000}">
      <formula1>GBFA</formula1>
    </dataValidation>
    <dataValidation type="list" allowBlank="1" showInputMessage="1" showErrorMessage="1" sqref="J10:J44 J46:J55 F76 J76 I71:J73" xr:uid="{00000000-0002-0000-0000-000001000000}">
      <formula1>erfüllt</formula1>
    </dataValidation>
    <dataValidation type="list" allowBlank="1" showInputMessage="1" showErrorMessage="1" sqref="C3" xr:uid="{00000000-0002-0000-0000-000002000000}">
      <formula1>janein</formula1>
    </dataValidation>
    <dataValidation type="whole" operator="greaterThanOrEqual" allowBlank="1" showInputMessage="1" showErrorMessage="1" sqref="J64" xr:uid="{00000000-0002-0000-0000-000003000000}">
      <formula1>J62</formula1>
    </dataValidation>
    <dataValidation type="list" allowBlank="1" showInputMessage="1" showErrorMessage="1" sqref="C46:C53" xr:uid="{00000000-0002-0000-0000-000004000000}">
      <formula1>Mittelstreckenwanderer</formula1>
    </dataValidation>
    <dataValidation type="list" allowBlank="1" showInputMessage="1" showErrorMessage="1" sqref="C10:C43" xr:uid="{00000000-0002-0000-0000-000005000000}">
      <formula1>Kurzstreckenwanderer</formula1>
    </dataValidation>
    <dataValidation type="list" allowBlank="1" showInputMessage="1" showErrorMessage="1" sqref="D46:D53 D71:E73 D10:D43" xr:uid="{00000000-0002-0000-0000-000006000000}">
      <formula1>Leitbild</formula1>
    </dataValidation>
    <dataValidation type="list" allowBlank="1" showInputMessage="1" showErrorMessage="1" sqref="F71:F73" xr:uid="{00000000-0002-0000-0000-000007000000}">
      <formula1>Vorkommen</formula1>
    </dataValidation>
  </dataValidations>
  <pageMargins left="0.59055118110236227" right="0.59055118110236227" top="0.59055118110236227" bottom="0.59055118110236227" header="0.51181102362204722" footer="0.51181102362204722"/>
  <pageSetup paperSize="9" scale="60" orientation="portrait" horizontalDpi="1200" verticalDpi="1200" r:id="rId1"/>
  <headerFooter alignWithMargins="0"/>
  <ignoredErrors>
    <ignoredError sqref="E10:E11 E46 E12:E42 H10:H43 H53 I58:I60 I62:I64 H66 D59:D60 D63:D64" unlockedFormula="1"/>
    <ignoredError sqref="I57" numberStoredAsText="1"/>
    <ignoredError sqref="H61" formulaRang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8000000}">
          <x14:formula1>
            <xm:f>Auswahllisten!$L$1:$L$68</xm:f>
          </x14:formula1>
          <xm:sqref>C64</xm:sqref>
        </x14:dataValidation>
        <x14:dataValidation type="list" allowBlank="1" showInputMessage="1" showErrorMessage="1" xr:uid="{00000000-0002-0000-0000-000009000000}">
          <x14:formula1>
            <xm:f>Auswahllisten!$A$1:$A$2</xm:f>
          </x14:formula1>
          <xm:sqref>F75:I75 C2</xm:sqref>
        </x14:dataValidation>
        <x14:dataValidation type="list" allowBlank="1" showInputMessage="1" showErrorMessage="1" xr:uid="{00000000-0002-0000-0000-00000A000000}">
          <x14:formula1>
            <xm:f>Auswahllisten!$L$1:$L$68</xm:f>
          </x14:formula1>
          <xm:sqref>C59:C60 C58 C62 C63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"/>
  <sheetViews>
    <sheetView workbookViewId="0">
      <selection activeCell="B2" sqref="B2:B3"/>
    </sheetView>
  </sheetViews>
  <sheetFormatPr baseColWidth="10" defaultRowHeight="12.75" x14ac:dyDescent="0.2"/>
  <cols>
    <col min="2" max="2" width="55.28515625" customWidth="1"/>
    <col min="3" max="3" width="13.85546875" bestFit="1" customWidth="1"/>
  </cols>
  <sheetData>
    <row r="1" spans="1:3" x14ac:dyDescent="0.2">
      <c r="A1" s="2" t="s">
        <v>14</v>
      </c>
      <c r="B1" s="2" t="s">
        <v>9</v>
      </c>
      <c r="C1" s="2" t="s">
        <v>126</v>
      </c>
    </row>
    <row r="2" spans="1:3" ht="40.15" customHeight="1" x14ac:dyDescent="0.2">
      <c r="A2">
        <v>1</v>
      </c>
      <c r="B2" s="278" t="s">
        <v>443</v>
      </c>
      <c r="C2" s="279" t="s">
        <v>127</v>
      </c>
    </row>
    <row r="3" spans="1:3" ht="67.150000000000006" customHeight="1" x14ac:dyDescent="0.2">
      <c r="A3">
        <v>2</v>
      </c>
      <c r="B3" s="279"/>
      <c r="C3" s="279"/>
    </row>
    <row r="4" spans="1:3" ht="25.5" customHeight="1" x14ac:dyDescent="0.2">
      <c r="A4">
        <v>3</v>
      </c>
      <c r="B4" s="279" t="s">
        <v>134</v>
      </c>
      <c r="C4" s="279" t="s">
        <v>128</v>
      </c>
    </row>
    <row r="5" spans="1:3" ht="25.5" customHeight="1" x14ac:dyDescent="0.2">
      <c r="A5">
        <v>4</v>
      </c>
      <c r="B5" s="279"/>
      <c r="C5" s="279"/>
    </row>
    <row r="6" spans="1:3" ht="25.5" customHeight="1" x14ac:dyDescent="0.2">
      <c r="A6">
        <v>5</v>
      </c>
      <c r="B6" s="279"/>
      <c r="C6" s="279"/>
    </row>
    <row r="8" spans="1:3" x14ac:dyDescent="0.2">
      <c r="B8" s="28" t="s">
        <v>410</v>
      </c>
    </row>
    <row r="9" spans="1:3" x14ac:dyDescent="0.2">
      <c r="B9" s="28" t="s">
        <v>177</v>
      </c>
    </row>
    <row r="10" spans="1:3" x14ac:dyDescent="0.2">
      <c r="B10" s="28" t="s">
        <v>364</v>
      </c>
    </row>
    <row r="11" spans="1:3" x14ac:dyDescent="0.2">
      <c r="B11" s="28" t="s">
        <v>353</v>
      </c>
    </row>
  </sheetData>
  <sheetProtection password="9E3E" sheet="1" objects="1" scenarios="1"/>
  <mergeCells count="4">
    <mergeCell ref="B2:B3"/>
    <mergeCell ref="B4:B6"/>
    <mergeCell ref="C2:C3"/>
    <mergeCell ref="C4:C6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9"/>
  <sheetViews>
    <sheetView topLeftCell="D1" workbookViewId="0">
      <selection activeCell="F19" sqref="F19"/>
    </sheetView>
  </sheetViews>
  <sheetFormatPr baseColWidth="10" defaultRowHeight="12.75" x14ac:dyDescent="0.2"/>
  <cols>
    <col min="1" max="1" width="4.42578125" bestFit="1" customWidth="1"/>
    <col min="2" max="2" width="5.7109375" bestFit="1" customWidth="1"/>
    <col min="3" max="3" width="25" bestFit="1" customWidth="1"/>
    <col min="4" max="4" width="14.28515625" bestFit="1" customWidth="1"/>
    <col min="6" max="6" width="23.85546875" bestFit="1" customWidth="1"/>
    <col min="7" max="7" width="12.28515625" bestFit="1" customWidth="1"/>
    <col min="8" max="8" width="15.42578125" bestFit="1" customWidth="1"/>
    <col min="9" max="9" width="25.140625" bestFit="1" customWidth="1"/>
    <col min="10" max="10" width="14.28515625" bestFit="1" customWidth="1"/>
    <col min="11" max="11" width="19" bestFit="1" customWidth="1"/>
    <col min="12" max="13" width="19" customWidth="1"/>
  </cols>
  <sheetData>
    <row r="1" spans="1:15" x14ac:dyDescent="0.2">
      <c r="A1" t="s">
        <v>18</v>
      </c>
      <c r="B1" s="16" t="s">
        <v>418</v>
      </c>
      <c r="C1" s="16" t="s">
        <v>417</v>
      </c>
      <c r="D1" t="s">
        <v>107</v>
      </c>
      <c r="E1" t="s">
        <v>33</v>
      </c>
      <c r="F1" t="s">
        <v>146</v>
      </c>
      <c r="G1" t="s">
        <v>26</v>
      </c>
      <c r="H1" t="s">
        <v>44</v>
      </c>
      <c r="I1" t="s">
        <v>52</v>
      </c>
      <c r="J1" t="s">
        <v>113</v>
      </c>
      <c r="K1" t="s">
        <v>55</v>
      </c>
      <c r="L1" t="s">
        <v>26</v>
      </c>
      <c r="M1" t="s">
        <v>55</v>
      </c>
      <c r="N1" t="s">
        <v>26</v>
      </c>
      <c r="O1" t="s">
        <v>163</v>
      </c>
    </row>
    <row r="2" spans="1:15" x14ac:dyDescent="0.2">
      <c r="A2" t="s">
        <v>19</v>
      </c>
      <c r="B2" s="16" t="s">
        <v>419</v>
      </c>
      <c r="C2" s="16" t="s">
        <v>420</v>
      </c>
      <c r="D2" t="s">
        <v>34</v>
      </c>
      <c r="E2" t="s">
        <v>34</v>
      </c>
      <c r="F2" t="s">
        <v>147</v>
      </c>
      <c r="G2" t="s">
        <v>27</v>
      </c>
      <c r="H2" t="s">
        <v>42</v>
      </c>
      <c r="I2" t="s">
        <v>47</v>
      </c>
      <c r="J2" t="s">
        <v>114</v>
      </c>
      <c r="K2" t="s">
        <v>26</v>
      </c>
      <c r="L2" t="s">
        <v>27</v>
      </c>
      <c r="M2" t="s">
        <v>27</v>
      </c>
      <c r="N2" t="s">
        <v>17</v>
      </c>
      <c r="O2" t="s">
        <v>164</v>
      </c>
    </row>
    <row r="3" spans="1:15" x14ac:dyDescent="0.2">
      <c r="B3" s="16"/>
      <c r="G3" t="s">
        <v>24</v>
      </c>
      <c r="H3" t="s">
        <v>43</v>
      </c>
      <c r="I3" s="16" t="s">
        <v>447</v>
      </c>
      <c r="J3" t="s">
        <v>115</v>
      </c>
      <c r="K3" t="s">
        <v>27</v>
      </c>
      <c r="L3" t="s">
        <v>24</v>
      </c>
      <c r="M3" t="s">
        <v>24</v>
      </c>
      <c r="N3" t="s">
        <v>58</v>
      </c>
      <c r="O3" t="s">
        <v>165</v>
      </c>
    </row>
    <row r="4" spans="1:15" x14ac:dyDescent="0.2">
      <c r="A4" s="16"/>
      <c r="G4" t="s">
        <v>25</v>
      </c>
      <c r="H4" t="s">
        <v>36</v>
      </c>
      <c r="I4" t="s">
        <v>54</v>
      </c>
      <c r="K4" t="s">
        <v>24</v>
      </c>
      <c r="L4" t="s">
        <v>25</v>
      </c>
      <c r="M4" t="s">
        <v>25</v>
      </c>
      <c r="N4" t="s">
        <v>22</v>
      </c>
      <c r="O4" t="s">
        <v>125</v>
      </c>
    </row>
    <row r="5" spans="1:15" x14ac:dyDescent="0.2">
      <c r="G5" t="s">
        <v>17</v>
      </c>
      <c r="H5" t="s">
        <v>40</v>
      </c>
      <c r="I5" t="s">
        <v>53</v>
      </c>
      <c r="K5" t="s">
        <v>25</v>
      </c>
      <c r="L5" t="s">
        <v>142</v>
      </c>
      <c r="M5" t="s">
        <v>142</v>
      </c>
      <c r="N5" t="s">
        <v>29</v>
      </c>
    </row>
    <row r="6" spans="1:15" x14ac:dyDescent="0.2">
      <c r="G6" t="s">
        <v>21</v>
      </c>
      <c r="H6" t="s">
        <v>41</v>
      </c>
      <c r="I6" s="16" t="s">
        <v>446</v>
      </c>
      <c r="K6" t="s">
        <v>142</v>
      </c>
      <c r="L6" t="s">
        <v>56</v>
      </c>
      <c r="M6" t="s">
        <v>56</v>
      </c>
      <c r="N6" t="s">
        <v>78</v>
      </c>
    </row>
    <row r="7" spans="1:15" x14ac:dyDescent="0.2">
      <c r="G7" t="s">
        <v>22</v>
      </c>
      <c r="H7" t="s">
        <v>39</v>
      </c>
      <c r="I7" t="s">
        <v>51</v>
      </c>
      <c r="K7" t="s">
        <v>56</v>
      </c>
      <c r="L7" t="s">
        <v>17</v>
      </c>
      <c r="M7" t="s">
        <v>57</v>
      </c>
      <c r="N7" t="s">
        <v>85</v>
      </c>
    </row>
    <row r="8" spans="1:15" x14ac:dyDescent="0.2">
      <c r="G8" t="s">
        <v>30</v>
      </c>
      <c r="H8" t="s">
        <v>45</v>
      </c>
      <c r="I8" t="s">
        <v>48</v>
      </c>
      <c r="K8" t="s">
        <v>17</v>
      </c>
      <c r="L8" t="s">
        <v>57</v>
      </c>
      <c r="M8" t="s">
        <v>59</v>
      </c>
      <c r="N8" t="s">
        <v>92</v>
      </c>
    </row>
    <row r="9" spans="1:15" x14ac:dyDescent="0.2">
      <c r="G9" t="s">
        <v>28</v>
      </c>
      <c r="H9" t="s">
        <v>37</v>
      </c>
      <c r="I9" t="s">
        <v>46</v>
      </c>
      <c r="K9" t="s">
        <v>57</v>
      </c>
      <c r="L9" t="s">
        <v>58</v>
      </c>
      <c r="M9" t="s">
        <v>60</v>
      </c>
      <c r="N9" t="s">
        <v>95</v>
      </c>
    </row>
    <row r="10" spans="1:15" x14ac:dyDescent="0.2">
      <c r="G10" t="s">
        <v>29</v>
      </c>
      <c r="H10" t="s">
        <v>38</v>
      </c>
      <c r="I10" t="s">
        <v>50</v>
      </c>
      <c r="K10" t="s">
        <v>58</v>
      </c>
      <c r="L10" t="s">
        <v>59</v>
      </c>
      <c r="M10" t="s">
        <v>61</v>
      </c>
    </row>
    <row r="11" spans="1:15" x14ac:dyDescent="0.2">
      <c r="G11" t="s">
        <v>20</v>
      </c>
      <c r="I11" t="s">
        <v>49</v>
      </c>
      <c r="K11" t="s">
        <v>59</v>
      </c>
      <c r="L11" t="s">
        <v>60</v>
      </c>
      <c r="M11" t="s">
        <v>62</v>
      </c>
    </row>
    <row r="12" spans="1:15" x14ac:dyDescent="0.2">
      <c r="G12" t="s">
        <v>23</v>
      </c>
      <c r="I12" t="s">
        <v>124</v>
      </c>
      <c r="K12" t="s">
        <v>60</v>
      </c>
      <c r="L12" t="s">
        <v>61</v>
      </c>
      <c r="M12" t="s">
        <v>63</v>
      </c>
    </row>
    <row r="13" spans="1:15" x14ac:dyDescent="0.2">
      <c r="K13" t="s">
        <v>61</v>
      </c>
      <c r="L13" t="s">
        <v>62</v>
      </c>
      <c r="M13" t="s">
        <v>65</v>
      </c>
    </row>
    <row r="14" spans="1:15" x14ac:dyDescent="0.2">
      <c r="K14" t="s">
        <v>62</v>
      </c>
      <c r="L14" t="s">
        <v>63</v>
      </c>
      <c r="M14" t="s">
        <v>66</v>
      </c>
    </row>
    <row r="15" spans="1:15" x14ac:dyDescent="0.2">
      <c r="K15" t="s">
        <v>63</v>
      </c>
      <c r="L15" t="s">
        <v>64</v>
      </c>
      <c r="M15" t="s">
        <v>67</v>
      </c>
    </row>
    <row r="16" spans="1:15" x14ac:dyDescent="0.2">
      <c r="K16" t="s">
        <v>64</v>
      </c>
      <c r="L16" t="s">
        <v>65</v>
      </c>
      <c r="M16" t="s">
        <v>68</v>
      </c>
    </row>
    <row r="17" spans="11:13" x14ac:dyDescent="0.2">
      <c r="K17" t="s">
        <v>65</v>
      </c>
      <c r="L17" t="s">
        <v>143</v>
      </c>
      <c r="M17" t="s">
        <v>69</v>
      </c>
    </row>
    <row r="18" spans="11:13" x14ac:dyDescent="0.2">
      <c r="K18" t="s">
        <v>143</v>
      </c>
      <c r="L18" t="s">
        <v>66</v>
      </c>
      <c r="M18" t="s">
        <v>21</v>
      </c>
    </row>
    <row r="19" spans="11:13" x14ac:dyDescent="0.2">
      <c r="K19" t="s">
        <v>66</v>
      </c>
      <c r="L19" t="s">
        <v>67</v>
      </c>
      <c r="M19" t="s">
        <v>70</v>
      </c>
    </row>
    <row r="20" spans="11:13" x14ac:dyDescent="0.2">
      <c r="K20" t="s">
        <v>67</v>
      </c>
      <c r="L20" t="s">
        <v>68</v>
      </c>
      <c r="M20" t="s">
        <v>71</v>
      </c>
    </row>
    <row r="21" spans="11:13" x14ac:dyDescent="0.2">
      <c r="K21" t="s">
        <v>68</v>
      </c>
      <c r="L21" t="s">
        <v>69</v>
      </c>
      <c r="M21" t="s">
        <v>141</v>
      </c>
    </row>
    <row r="22" spans="11:13" x14ac:dyDescent="0.2">
      <c r="K22" t="s">
        <v>69</v>
      </c>
      <c r="L22" t="s">
        <v>21</v>
      </c>
      <c r="M22" t="s">
        <v>72</v>
      </c>
    </row>
    <row r="23" spans="11:13" x14ac:dyDescent="0.2">
      <c r="K23" t="s">
        <v>21</v>
      </c>
      <c r="L23" t="s">
        <v>22</v>
      </c>
      <c r="M23" t="s">
        <v>73</v>
      </c>
    </row>
    <row r="24" spans="11:13" x14ac:dyDescent="0.2">
      <c r="K24" t="s">
        <v>22</v>
      </c>
      <c r="L24" t="s">
        <v>70</v>
      </c>
      <c r="M24" t="s">
        <v>74</v>
      </c>
    </row>
    <row r="25" spans="11:13" x14ac:dyDescent="0.2">
      <c r="K25" t="s">
        <v>70</v>
      </c>
      <c r="L25" t="s">
        <v>71</v>
      </c>
      <c r="M25" t="s">
        <v>75</v>
      </c>
    </row>
    <row r="26" spans="11:13" x14ac:dyDescent="0.2">
      <c r="K26" t="s">
        <v>71</v>
      </c>
      <c r="L26" t="s">
        <v>141</v>
      </c>
      <c r="M26" t="s">
        <v>76</v>
      </c>
    </row>
    <row r="27" spans="11:13" x14ac:dyDescent="0.2">
      <c r="K27" t="s">
        <v>141</v>
      </c>
      <c r="L27" t="s">
        <v>72</v>
      </c>
      <c r="M27" t="s">
        <v>77</v>
      </c>
    </row>
    <row r="28" spans="11:13" x14ac:dyDescent="0.2">
      <c r="K28" t="s">
        <v>72</v>
      </c>
      <c r="L28" t="s">
        <v>73</v>
      </c>
      <c r="M28" t="s">
        <v>79</v>
      </c>
    </row>
    <row r="29" spans="11:13" x14ac:dyDescent="0.2">
      <c r="K29" t="s">
        <v>73</v>
      </c>
      <c r="L29" t="s">
        <v>74</v>
      </c>
      <c r="M29" t="s">
        <v>80</v>
      </c>
    </row>
    <row r="30" spans="11:13" x14ac:dyDescent="0.2">
      <c r="K30" t="s">
        <v>74</v>
      </c>
      <c r="L30" t="s">
        <v>75</v>
      </c>
      <c r="M30" t="s">
        <v>81</v>
      </c>
    </row>
    <row r="31" spans="11:13" x14ac:dyDescent="0.2">
      <c r="K31" t="s">
        <v>75</v>
      </c>
      <c r="L31" t="s">
        <v>76</v>
      </c>
      <c r="M31" t="s">
        <v>140</v>
      </c>
    </row>
    <row r="32" spans="11:13" x14ac:dyDescent="0.2">
      <c r="K32" t="s">
        <v>76</v>
      </c>
      <c r="L32" t="s">
        <v>144</v>
      </c>
      <c r="M32" t="s">
        <v>82</v>
      </c>
    </row>
    <row r="33" spans="11:13" x14ac:dyDescent="0.2">
      <c r="K33" t="s">
        <v>144</v>
      </c>
      <c r="L33" t="s">
        <v>77</v>
      </c>
      <c r="M33" t="s">
        <v>83</v>
      </c>
    </row>
    <row r="34" spans="11:13" x14ac:dyDescent="0.2">
      <c r="K34" t="s">
        <v>77</v>
      </c>
      <c r="L34" t="s">
        <v>29</v>
      </c>
      <c r="M34" t="s">
        <v>84</v>
      </c>
    </row>
    <row r="35" spans="11:13" x14ac:dyDescent="0.2">
      <c r="K35" t="s">
        <v>29</v>
      </c>
      <c r="L35" t="s">
        <v>78</v>
      </c>
      <c r="M35" t="s">
        <v>86</v>
      </c>
    </row>
    <row r="36" spans="11:13" x14ac:dyDescent="0.2">
      <c r="K36" t="s">
        <v>78</v>
      </c>
      <c r="L36" t="s">
        <v>79</v>
      </c>
      <c r="M36" t="s">
        <v>87</v>
      </c>
    </row>
    <row r="37" spans="11:13" x14ac:dyDescent="0.2">
      <c r="K37" t="s">
        <v>79</v>
      </c>
      <c r="L37" t="s">
        <v>80</v>
      </c>
      <c r="M37" t="s">
        <v>88</v>
      </c>
    </row>
    <row r="38" spans="11:13" x14ac:dyDescent="0.2">
      <c r="K38" t="s">
        <v>80</v>
      </c>
      <c r="L38" t="s">
        <v>81</v>
      </c>
      <c r="M38" t="s">
        <v>89</v>
      </c>
    </row>
    <row r="39" spans="11:13" x14ac:dyDescent="0.2">
      <c r="K39" t="s">
        <v>81</v>
      </c>
      <c r="L39" t="s">
        <v>140</v>
      </c>
      <c r="M39" t="s">
        <v>20</v>
      </c>
    </row>
    <row r="40" spans="11:13" x14ac:dyDescent="0.2">
      <c r="K40" t="s">
        <v>140</v>
      </c>
      <c r="L40" t="s">
        <v>82</v>
      </c>
      <c r="M40" t="s">
        <v>90</v>
      </c>
    </row>
    <row r="41" spans="11:13" x14ac:dyDescent="0.2">
      <c r="K41" t="s">
        <v>82</v>
      </c>
      <c r="L41" t="s">
        <v>83</v>
      </c>
      <c r="M41" s="16" t="s">
        <v>363</v>
      </c>
    </row>
    <row r="42" spans="11:13" x14ac:dyDescent="0.2">
      <c r="K42" t="s">
        <v>83</v>
      </c>
      <c r="L42" t="s">
        <v>84</v>
      </c>
      <c r="M42" t="s">
        <v>91</v>
      </c>
    </row>
    <row r="43" spans="11:13" x14ac:dyDescent="0.2">
      <c r="K43" t="s">
        <v>84</v>
      </c>
      <c r="L43" t="s">
        <v>85</v>
      </c>
      <c r="M43" t="s">
        <v>93</v>
      </c>
    </row>
    <row r="44" spans="11:13" x14ac:dyDescent="0.2">
      <c r="K44" t="s">
        <v>85</v>
      </c>
      <c r="L44" t="s">
        <v>86</v>
      </c>
      <c r="M44" t="s">
        <v>94</v>
      </c>
    </row>
    <row r="45" spans="11:13" x14ac:dyDescent="0.2">
      <c r="K45" t="s">
        <v>86</v>
      </c>
      <c r="L45" t="s">
        <v>87</v>
      </c>
      <c r="M45" s="16" t="s">
        <v>445</v>
      </c>
    </row>
    <row r="46" spans="11:13" x14ac:dyDescent="0.2">
      <c r="K46" t="s">
        <v>87</v>
      </c>
      <c r="L46" t="s">
        <v>88</v>
      </c>
      <c r="M46" t="s">
        <v>96</v>
      </c>
    </row>
    <row r="47" spans="11:13" x14ac:dyDescent="0.2">
      <c r="K47" t="s">
        <v>88</v>
      </c>
      <c r="L47" t="s">
        <v>89</v>
      </c>
      <c r="M47" t="s">
        <v>97</v>
      </c>
    </row>
    <row r="48" spans="11:13" x14ac:dyDescent="0.2">
      <c r="K48" t="s">
        <v>89</v>
      </c>
      <c r="L48" t="s">
        <v>20</v>
      </c>
      <c r="M48" t="s">
        <v>98</v>
      </c>
    </row>
    <row r="49" spans="11:13" x14ac:dyDescent="0.2">
      <c r="K49" t="s">
        <v>20</v>
      </c>
      <c r="L49" t="s">
        <v>90</v>
      </c>
      <c r="M49" t="s">
        <v>100</v>
      </c>
    </row>
    <row r="50" spans="11:13" x14ac:dyDescent="0.2">
      <c r="K50" t="s">
        <v>90</v>
      </c>
      <c r="L50" s="16" t="s">
        <v>363</v>
      </c>
      <c r="M50" t="s">
        <v>23</v>
      </c>
    </row>
    <row r="51" spans="11:13" x14ac:dyDescent="0.2">
      <c r="K51" s="16" t="s">
        <v>363</v>
      </c>
      <c r="L51" t="s">
        <v>91</v>
      </c>
      <c r="M51" t="s">
        <v>101</v>
      </c>
    </row>
    <row r="52" spans="11:13" x14ac:dyDescent="0.2">
      <c r="K52" t="s">
        <v>91</v>
      </c>
      <c r="L52" t="s">
        <v>92</v>
      </c>
      <c r="M52" t="s">
        <v>102</v>
      </c>
    </row>
    <row r="53" spans="11:13" x14ac:dyDescent="0.2">
      <c r="K53" t="s">
        <v>92</v>
      </c>
      <c r="L53" t="s">
        <v>93</v>
      </c>
      <c r="M53" t="s">
        <v>103</v>
      </c>
    </row>
    <row r="54" spans="11:13" x14ac:dyDescent="0.2">
      <c r="K54" t="s">
        <v>93</v>
      </c>
      <c r="L54" t="s">
        <v>94</v>
      </c>
      <c r="M54" t="s">
        <v>104</v>
      </c>
    </row>
    <row r="55" spans="11:13" x14ac:dyDescent="0.2">
      <c r="K55" t="s">
        <v>94</v>
      </c>
      <c r="L55" s="16" t="s">
        <v>445</v>
      </c>
      <c r="M55" t="s">
        <v>105</v>
      </c>
    </row>
    <row r="56" spans="11:13" x14ac:dyDescent="0.2">
      <c r="K56" s="16" t="s">
        <v>445</v>
      </c>
      <c r="L56" t="s">
        <v>95</v>
      </c>
      <c r="M56" t="s">
        <v>106</v>
      </c>
    </row>
    <row r="57" spans="11:13" x14ac:dyDescent="0.2">
      <c r="K57" t="s">
        <v>95</v>
      </c>
      <c r="L57" t="s">
        <v>96</v>
      </c>
    </row>
    <row r="58" spans="11:13" x14ac:dyDescent="0.2">
      <c r="K58" t="s">
        <v>96</v>
      </c>
      <c r="L58" t="s">
        <v>97</v>
      </c>
    </row>
    <row r="59" spans="11:13" x14ac:dyDescent="0.2">
      <c r="K59" t="s">
        <v>97</v>
      </c>
      <c r="L59" t="s">
        <v>98</v>
      </c>
    </row>
    <row r="60" spans="11:13" x14ac:dyDescent="0.2">
      <c r="K60" t="s">
        <v>98</v>
      </c>
      <c r="L60" t="s">
        <v>99</v>
      </c>
    </row>
    <row r="61" spans="11:13" x14ac:dyDescent="0.2">
      <c r="K61" t="s">
        <v>99</v>
      </c>
      <c r="L61" t="s">
        <v>100</v>
      </c>
    </row>
    <row r="62" spans="11:13" x14ac:dyDescent="0.2">
      <c r="K62" t="s">
        <v>100</v>
      </c>
      <c r="L62" t="s">
        <v>23</v>
      </c>
    </row>
    <row r="63" spans="11:13" x14ac:dyDescent="0.2">
      <c r="K63" t="s">
        <v>23</v>
      </c>
      <c r="L63" t="s">
        <v>101</v>
      </c>
    </row>
    <row r="64" spans="11:13" x14ac:dyDescent="0.2">
      <c r="K64" t="s">
        <v>101</v>
      </c>
      <c r="L64" t="s">
        <v>102</v>
      </c>
    </row>
    <row r="65" spans="11:12" x14ac:dyDescent="0.2">
      <c r="K65" t="s">
        <v>102</v>
      </c>
      <c r="L65" t="s">
        <v>103</v>
      </c>
    </row>
    <row r="66" spans="11:12" x14ac:dyDescent="0.2">
      <c r="K66" t="s">
        <v>103</v>
      </c>
      <c r="L66" t="s">
        <v>104</v>
      </c>
    </row>
    <row r="67" spans="11:12" x14ac:dyDescent="0.2">
      <c r="K67" t="s">
        <v>104</v>
      </c>
      <c r="L67" t="s">
        <v>105</v>
      </c>
    </row>
    <row r="68" spans="11:12" x14ac:dyDescent="0.2">
      <c r="K68" t="s">
        <v>105</v>
      </c>
      <c r="L68" t="s">
        <v>106</v>
      </c>
    </row>
    <row r="69" spans="11:12" x14ac:dyDescent="0.2">
      <c r="K69" t="s">
        <v>106</v>
      </c>
    </row>
  </sheetData>
  <sheetProtection password="9E3E" sheet="1" objects="1" scenarios="1"/>
  <sortState xmlns:xlrd2="http://schemas.microsoft.com/office/spreadsheetml/2017/richdata2" ref="I1:I12">
    <sortCondition ref="I1:I12"/>
  </sortState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3"/>
  <sheetViews>
    <sheetView topLeftCell="C1" workbookViewId="0">
      <selection activeCell="G76" sqref="G76"/>
    </sheetView>
  </sheetViews>
  <sheetFormatPr baseColWidth="10" defaultRowHeight="12.75" x14ac:dyDescent="0.2"/>
  <cols>
    <col min="1" max="2" width="11.42578125" hidden="1" customWidth="1"/>
    <col min="3" max="3" width="24.28515625" bestFit="1" customWidth="1"/>
    <col min="4" max="4" width="24.28515625" customWidth="1"/>
    <col min="5" max="5" width="16.28515625" customWidth="1"/>
    <col min="6" max="6" width="13.140625" bestFit="1" customWidth="1"/>
    <col min="7" max="7" width="19.7109375" customWidth="1"/>
    <col min="8" max="8" width="12" bestFit="1" customWidth="1"/>
    <col min="9" max="9" width="7.7109375" bestFit="1" customWidth="1"/>
    <col min="10" max="10" width="14.7109375" customWidth="1"/>
  </cols>
  <sheetData>
    <row r="1" spans="1:10" ht="38.25" x14ac:dyDescent="0.2">
      <c r="A1" s="2" t="s">
        <v>181</v>
      </c>
      <c r="B1" s="2" t="s">
        <v>180</v>
      </c>
      <c r="C1" s="2" t="s">
        <v>179</v>
      </c>
      <c r="D1" s="2" t="s">
        <v>203</v>
      </c>
      <c r="E1" s="11" t="s">
        <v>178</v>
      </c>
      <c r="F1" s="11" t="s">
        <v>185</v>
      </c>
      <c r="G1" s="11" t="s">
        <v>182</v>
      </c>
      <c r="H1" s="11" t="s">
        <v>188</v>
      </c>
      <c r="I1" s="11" t="s">
        <v>352</v>
      </c>
      <c r="J1" s="11" t="s">
        <v>351</v>
      </c>
    </row>
    <row r="2" spans="1:10" x14ac:dyDescent="0.2">
      <c r="A2">
        <v>1</v>
      </c>
      <c r="B2" t="s">
        <v>204</v>
      </c>
      <c r="C2" s="28" t="s">
        <v>205</v>
      </c>
      <c r="D2" s="16" t="s">
        <v>349</v>
      </c>
      <c r="E2" s="27" t="s">
        <v>186</v>
      </c>
      <c r="F2" s="26"/>
      <c r="G2" s="27" t="s">
        <v>18</v>
      </c>
      <c r="H2" s="26"/>
      <c r="I2" s="26" t="s">
        <v>193</v>
      </c>
      <c r="J2" s="26" t="s">
        <v>194</v>
      </c>
    </row>
    <row r="3" spans="1:10" x14ac:dyDescent="0.2">
      <c r="A3">
        <v>2</v>
      </c>
      <c r="B3" t="s">
        <v>206</v>
      </c>
      <c r="C3" s="28" t="s">
        <v>207</v>
      </c>
      <c r="D3" s="16" t="s">
        <v>350</v>
      </c>
      <c r="E3" s="27" t="s">
        <v>186</v>
      </c>
      <c r="F3" s="26"/>
      <c r="G3" s="27" t="s">
        <v>18</v>
      </c>
      <c r="H3" s="26"/>
      <c r="I3" s="26" t="s">
        <v>193</v>
      </c>
      <c r="J3" s="26" t="s">
        <v>194</v>
      </c>
    </row>
    <row r="4" spans="1:10" x14ac:dyDescent="0.2">
      <c r="A4">
        <v>3</v>
      </c>
      <c r="B4" t="s">
        <v>208</v>
      </c>
      <c r="C4" s="28" t="s">
        <v>209</v>
      </c>
      <c r="D4" t="s">
        <v>99</v>
      </c>
      <c r="E4" s="27" t="s">
        <v>187</v>
      </c>
      <c r="F4" s="26"/>
      <c r="G4" s="26"/>
      <c r="H4" s="26"/>
      <c r="I4" s="26" t="s">
        <v>195</v>
      </c>
      <c r="J4" s="26" t="s">
        <v>194</v>
      </c>
    </row>
    <row r="5" spans="1:10" x14ac:dyDescent="0.2">
      <c r="A5">
        <v>4</v>
      </c>
      <c r="B5" t="s">
        <v>210</v>
      </c>
      <c r="C5" s="28" t="s">
        <v>211</v>
      </c>
      <c r="D5" t="s">
        <v>64</v>
      </c>
      <c r="E5" s="27" t="s">
        <v>187</v>
      </c>
      <c r="F5" s="26"/>
      <c r="G5" s="26"/>
      <c r="H5" s="26"/>
      <c r="I5" s="26" t="s">
        <v>195</v>
      </c>
      <c r="J5" s="26" t="s">
        <v>196</v>
      </c>
    </row>
    <row r="6" spans="1:10" x14ac:dyDescent="0.2">
      <c r="A6">
        <v>5</v>
      </c>
      <c r="B6" t="s">
        <v>212</v>
      </c>
      <c r="C6" s="28" t="s">
        <v>213</v>
      </c>
      <c r="D6" t="s">
        <v>95</v>
      </c>
      <c r="E6" s="26" t="s">
        <v>197</v>
      </c>
      <c r="F6" s="26"/>
      <c r="G6" s="26"/>
      <c r="H6" s="26"/>
      <c r="I6" s="26" t="s">
        <v>195</v>
      </c>
      <c r="J6" s="26" t="s">
        <v>196</v>
      </c>
    </row>
    <row r="7" spans="1:10" x14ac:dyDescent="0.2">
      <c r="A7">
        <v>6</v>
      </c>
      <c r="B7" t="s">
        <v>214</v>
      </c>
      <c r="C7" s="28" t="s">
        <v>215</v>
      </c>
      <c r="D7" t="s">
        <v>96</v>
      </c>
      <c r="E7" s="26" t="s">
        <v>187</v>
      </c>
      <c r="F7" s="26"/>
      <c r="G7" s="26"/>
      <c r="H7" s="26"/>
      <c r="I7" s="26" t="s">
        <v>195</v>
      </c>
      <c r="J7" s="26" t="s">
        <v>194</v>
      </c>
    </row>
    <row r="8" spans="1:10" x14ac:dyDescent="0.2">
      <c r="A8">
        <v>7</v>
      </c>
      <c r="B8" t="s">
        <v>216</v>
      </c>
      <c r="C8" s="28" t="s">
        <v>217</v>
      </c>
      <c r="D8" t="s">
        <v>69</v>
      </c>
      <c r="E8" s="26" t="s">
        <v>187</v>
      </c>
      <c r="F8" s="26"/>
      <c r="G8" s="26"/>
      <c r="H8" s="26"/>
      <c r="I8" s="26" t="s">
        <v>195</v>
      </c>
      <c r="J8" s="26" t="s">
        <v>194</v>
      </c>
    </row>
    <row r="9" spans="1:10" x14ac:dyDescent="0.2">
      <c r="A9">
        <v>8</v>
      </c>
      <c r="B9" t="s">
        <v>218</v>
      </c>
      <c r="C9" s="28" t="s">
        <v>219</v>
      </c>
      <c r="D9" t="s">
        <v>55</v>
      </c>
      <c r="E9" s="26" t="s">
        <v>187</v>
      </c>
      <c r="F9" s="26"/>
      <c r="G9" s="26"/>
      <c r="H9" s="26"/>
      <c r="I9" s="26" t="s">
        <v>198</v>
      </c>
      <c r="J9" s="26" t="s">
        <v>199</v>
      </c>
    </row>
    <row r="10" spans="1:10" x14ac:dyDescent="0.2">
      <c r="A10">
        <v>9</v>
      </c>
      <c r="B10" t="s">
        <v>220</v>
      </c>
      <c r="C10" s="28" t="s">
        <v>221</v>
      </c>
      <c r="D10" t="s">
        <v>22</v>
      </c>
      <c r="E10" s="26" t="s">
        <v>197</v>
      </c>
      <c r="F10" s="26"/>
      <c r="G10" s="26"/>
      <c r="H10" s="26"/>
      <c r="I10" s="26" t="s">
        <v>200</v>
      </c>
      <c r="J10" s="26" t="s">
        <v>194</v>
      </c>
    </row>
    <row r="11" spans="1:10" x14ac:dyDescent="0.2">
      <c r="A11">
        <v>10</v>
      </c>
      <c r="B11" t="s">
        <v>222</v>
      </c>
      <c r="C11" s="28" t="s">
        <v>223</v>
      </c>
      <c r="D11" t="s">
        <v>140</v>
      </c>
      <c r="E11" s="26" t="s">
        <v>186</v>
      </c>
      <c r="F11" s="26"/>
      <c r="G11" s="26"/>
      <c r="H11" s="26"/>
      <c r="I11" s="26" t="s">
        <v>198</v>
      </c>
      <c r="J11" s="26" t="s">
        <v>199</v>
      </c>
    </row>
    <row r="12" spans="1:10" x14ac:dyDescent="0.2">
      <c r="A12">
        <v>11</v>
      </c>
      <c r="B12" t="s">
        <v>224</v>
      </c>
      <c r="C12" s="28" t="s">
        <v>225</v>
      </c>
      <c r="D12" t="s">
        <v>363</v>
      </c>
      <c r="E12" s="26" t="s">
        <v>186</v>
      </c>
      <c r="F12" s="26"/>
      <c r="G12" s="26"/>
      <c r="H12" s="26"/>
      <c r="I12" s="26" t="s">
        <v>198</v>
      </c>
      <c r="J12" s="26" t="s">
        <v>201</v>
      </c>
    </row>
    <row r="13" spans="1:10" x14ac:dyDescent="0.2">
      <c r="A13">
        <v>12</v>
      </c>
      <c r="B13" t="s">
        <v>226</v>
      </c>
      <c r="C13" s="28" t="s">
        <v>227</v>
      </c>
      <c r="D13" t="s">
        <v>142</v>
      </c>
      <c r="E13" s="26" t="s">
        <v>186</v>
      </c>
      <c r="F13" s="26"/>
      <c r="G13" s="26"/>
      <c r="H13" s="26"/>
      <c r="I13" s="26" t="s">
        <v>198</v>
      </c>
      <c r="J13" s="26" t="s">
        <v>194</v>
      </c>
    </row>
    <row r="14" spans="1:10" x14ac:dyDescent="0.2">
      <c r="A14">
        <v>13</v>
      </c>
      <c r="B14" t="s">
        <v>228</v>
      </c>
      <c r="C14" s="28" t="s">
        <v>229</v>
      </c>
      <c r="D14" t="s">
        <v>25</v>
      </c>
      <c r="E14" s="26" t="s">
        <v>186</v>
      </c>
      <c r="F14" s="26"/>
      <c r="G14" s="26"/>
      <c r="H14" s="26"/>
      <c r="I14" s="26" t="s">
        <v>198</v>
      </c>
      <c r="J14" s="26" t="s">
        <v>194</v>
      </c>
    </row>
    <row r="15" spans="1:10" x14ac:dyDescent="0.2">
      <c r="A15">
        <v>14</v>
      </c>
      <c r="B15" t="s">
        <v>230</v>
      </c>
      <c r="C15" s="28" t="s">
        <v>231</v>
      </c>
      <c r="D15" t="s">
        <v>232</v>
      </c>
      <c r="E15" s="26" t="s">
        <v>186</v>
      </c>
      <c r="F15" s="26" t="s">
        <v>184</v>
      </c>
      <c r="G15" s="26"/>
      <c r="H15" s="26"/>
      <c r="I15" s="26" t="s">
        <v>195</v>
      </c>
      <c r="J15" s="26" t="s">
        <v>199</v>
      </c>
    </row>
    <row r="16" spans="1:10" x14ac:dyDescent="0.2">
      <c r="A16">
        <v>15</v>
      </c>
      <c r="B16" t="s">
        <v>233</v>
      </c>
      <c r="C16" s="28" t="s">
        <v>234</v>
      </c>
      <c r="D16" t="s">
        <v>24</v>
      </c>
      <c r="E16" s="26" t="s">
        <v>186</v>
      </c>
      <c r="F16" s="26"/>
      <c r="G16" s="26"/>
      <c r="H16" s="26"/>
      <c r="I16" s="26" t="s">
        <v>195</v>
      </c>
      <c r="J16" s="26" t="s">
        <v>194</v>
      </c>
    </row>
    <row r="17" spans="1:10" x14ac:dyDescent="0.2">
      <c r="A17">
        <v>16</v>
      </c>
      <c r="B17" t="s">
        <v>235</v>
      </c>
      <c r="C17" s="28" t="s">
        <v>236</v>
      </c>
      <c r="D17" t="s">
        <v>21</v>
      </c>
      <c r="E17" s="26" t="s">
        <v>186</v>
      </c>
      <c r="F17" s="26" t="s">
        <v>184</v>
      </c>
      <c r="G17" s="26"/>
      <c r="H17" s="26"/>
      <c r="I17" s="26" t="s">
        <v>198</v>
      </c>
      <c r="J17" s="26" t="s">
        <v>199</v>
      </c>
    </row>
    <row r="18" spans="1:10" x14ac:dyDescent="0.2">
      <c r="A18">
        <v>17</v>
      </c>
      <c r="B18" t="s">
        <v>237</v>
      </c>
      <c r="C18" s="28" t="s">
        <v>238</v>
      </c>
      <c r="D18" t="s">
        <v>70</v>
      </c>
      <c r="E18" s="26" t="s">
        <v>186</v>
      </c>
      <c r="F18" s="26" t="s">
        <v>18</v>
      </c>
      <c r="G18" s="26"/>
      <c r="H18" s="26"/>
      <c r="I18" s="26" t="s">
        <v>193</v>
      </c>
      <c r="J18" s="26" t="s">
        <v>201</v>
      </c>
    </row>
    <row r="19" spans="1:10" x14ac:dyDescent="0.2">
      <c r="A19">
        <v>18</v>
      </c>
      <c r="B19" t="s">
        <v>239</v>
      </c>
      <c r="C19" s="28" t="s">
        <v>240</v>
      </c>
      <c r="D19" t="s">
        <v>106</v>
      </c>
      <c r="E19" s="26" t="s">
        <v>186</v>
      </c>
      <c r="F19" s="26" t="s">
        <v>184</v>
      </c>
      <c r="G19" s="26"/>
      <c r="H19" s="26"/>
      <c r="I19" s="26" t="s">
        <v>198</v>
      </c>
      <c r="J19" s="26" t="s">
        <v>199</v>
      </c>
    </row>
    <row r="20" spans="1:10" x14ac:dyDescent="0.2">
      <c r="A20">
        <v>19</v>
      </c>
      <c r="B20" t="s">
        <v>241</v>
      </c>
      <c r="C20" s="28" t="s">
        <v>242</v>
      </c>
      <c r="D20" t="s">
        <v>67</v>
      </c>
      <c r="E20" s="26" t="s">
        <v>186</v>
      </c>
      <c r="F20" s="26" t="s">
        <v>184</v>
      </c>
      <c r="G20" s="26"/>
      <c r="H20" s="26"/>
      <c r="I20" s="26" t="s">
        <v>198</v>
      </c>
      <c r="J20" s="26" t="s">
        <v>199</v>
      </c>
    </row>
    <row r="21" spans="1:10" x14ac:dyDescent="0.2">
      <c r="A21">
        <v>20</v>
      </c>
      <c r="B21" t="s">
        <v>243</v>
      </c>
      <c r="C21" s="28" t="s">
        <v>244</v>
      </c>
      <c r="D21" t="s">
        <v>58</v>
      </c>
      <c r="E21" s="27" t="s">
        <v>197</v>
      </c>
      <c r="F21" s="26" t="s">
        <v>184</v>
      </c>
      <c r="G21" s="26"/>
      <c r="H21" s="27" t="s">
        <v>189</v>
      </c>
      <c r="I21" s="26" t="s">
        <v>198</v>
      </c>
      <c r="J21" s="26" t="s">
        <v>199</v>
      </c>
    </row>
    <row r="22" spans="1:10" x14ac:dyDescent="0.2">
      <c r="A22">
        <v>21</v>
      </c>
      <c r="B22" t="s">
        <v>245</v>
      </c>
      <c r="C22" s="28" t="s">
        <v>246</v>
      </c>
      <c r="D22" t="s">
        <v>105</v>
      </c>
      <c r="E22" s="26" t="s">
        <v>186</v>
      </c>
      <c r="F22" s="26" t="s">
        <v>184</v>
      </c>
      <c r="G22" s="26"/>
      <c r="H22" s="26"/>
      <c r="I22" s="26" t="s">
        <v>198</v>
      </c>
      <c r="J22" s="26" t="s">
        <v>196</v>
      </c>
    </row>
    <row r="23" spans="1:10" x14ac:dyDescent="0.2">
      <c r="A23">
        <v>22</v>
      </c>
      <c r="B23" t="s">
        <v>247</v>
      </c>
      <c r="C23" s="28" t="s">
        <v>248</v>
      </c>
      <c r="D23" t="s">
        <v>88</v>
      </c>
      <c r="E23" s="26" t="s">
        <v>186</v>
      </c>
      <c r="F23" s="26"/>
      <c r="G23" s="26"/>
      <c r="H23" s="26"/>
      <c r="I23" s="26" t="s">
        <v>198</v>
      </c>
      <c r="J23" s="26" t="s">
        <v>194</v>
      </c>
    </row>
    <row r="24" spans="1:10" x14ac:dyDescent="0.2">
      <c r="A24">
        <v>23</v>
      </c>
      <c r="B24" t="s">
        <v>249</v>
      </c>
      <c r="C24" s="28" t="s">
        <v>250</v>
      </c>
      <c r="D24" t="s">
        <v>75</v>
      </c>
      <c r="E24" s="26" t="s">
        <v>186</v>
      </c>
      <c r="F24" s="26" t="s">
        <v>184</v>
      </c>
      <c r="G24" s="26"/>
      <c r="H24" s="26"/>
      <c r="I24" s="26" t="s">
        <v>198</v>
      </c>
      <c r="J24" s="26" t="s">
        <v>199</v>
      </c>
    </row>
    <row r="25" spans="1:10" x14ac:dyDescent="0.2">
      <c r="A25">
        <v>24</v>
      </c>
      <c r="B25" t="s">
        <v>251</v>
      </c>
      <c r="C25" s="28" t="s">
        <v>252</v>
      </c>
      <c r="D25" t="s">
        <v>85</v>
      </c>
      <c r="E25" s="26" t="s">
        <v>197</v>
      </c>
      <c r="F25" s="26" t="s">
        <v>184</v>
      </c>
      <c r="G25" s="26"/>
      <c r="H25" s="26"/>
      <c r="I25" s="26" t="s">
        <v>200</v>
      </c>
      <c r="J25" s="26" t="s">
        <v>199</v>
      </c>
    </row>
    <row r="26" spans="1:10" x14ac:dyDescent="0.2">
      <c r="A26">
        <v>25</v>
      </c>
      <c r="B26" t="s">
        <v>253</v>
      </c>
      <c r="C26" s="28" t="s">
        <v>254</v>
      </c>
      <c r="D26" t="s">
        <v>17</v>
      </c>
      <c r="E26" s="26" t="s">
        <v>197</v>
      </c>
      <c r="F26" s="26"/>
      <c r="G26" s="26"/>
      <c r="H26" s="27" t="s">
        <v>189</v>
      </c>
      <c r="I26" s="26" t="s">
        <v>195</v>
      </c>
      <c r="J26" s="26" t="s">
        <v>194</v>
      </c>
    </row>
    <row r="27" spans="1:10" x14ac:dyDescent="0.2">
      <c r="A27">
        <v>26</v>
      </c>
      <c r="B27" t="s">
        <v>255</v>
      </c>
      <c r="C27" s="28" t="s">
        <v>256</v>
      </c>
      <c r="D27" t="s">
        <v>91</v>
      </c>
      <c r="E27" s="26" t="s">
        <v>186</v>
      </c>
      <c r="F27" s="26"/>
      <c r="G27" s="26"/>
      <c r="H27" s="26"/>
      <c r="I27" s="26" t="s">
        <v>200</v>
      </c>
      <c r="J27" s="26" t="s">
        <v>194</v>
      </c>
    </row>
    <row r="28" spans="1:10" x14ac:dyDescent="0.2">
      <c r="A28">
        <v>27</v>
      </c>
      <c r="B28" t="s">
        <v>257</v>
      </c>
      <c r="C28" s="28" t="s">
        <v>258</v>
      </c>
      <c r="D28" t="s">
        <v>71</v>
      </c>
      <c r="E28" s="26" t="s">
        <v>186</v>
      </c>
      <c r="F28" s="27" t="s">
        <v>18</v>
      </c>
      <c r="G28" s="26"/>
      <c r="H28" s="26"/>
      <c r="I28" s="26" t="s">
        <v>198</v>
      </c>
      <c r="J28" s="26" t="s">
        <v>201</v>
      </c>
    </row>
    <row r="29" spans="1:10" x14ac:dyDescent="0.2">
      <c r="A29">
        <v>28</v>
      </c>
      <c r="B29" t="s">
        <v>259</v>
      </c>
      <c r="C29" s="28" t="s">
        <v>260</v>
      </c>
      <c r="D29" t="s">
        <v>63</v>
      </c>
      <c r="E29" s="26" t="s">
        <v>186</v>
      </c>
      <c r="F29" s="26" t="s">
        <v>184</v>
      </c>
      <c r="G29" s="26"/>
      <c r="H29" s="26"/>
      <c r="I29" s="26" t="s">
        <v>198</v>
      </c>
      <c r="J29" s="26" t="s">
        <v>199</v>
      </c>
    </row>
    <row r="30" spans="1:10" x14ac:dyDescent="0.2">
      <c r="A30">
        <v>29</v>
      </c>
      <c r="B30" t="s">
        <v>261</v>
      </c>
      <c r="C30" s="28" t="s">
        <v>262</v>
      </c>
      <c r="D30" t="s">
        <v>90</v>
      </c>
      <c r="E30" s="26" t="s">
        <v>186</v>
      </c>
      <c r="F30" s="26" t="s">
        <v>184</v>
      </c>
      <c r="G30" s="26"/>
      <c r="H30" s="26"/>
      <c r="I30" s="26" t="s">
        <v>193</v>
      </c>
      <c r="J30" s="26" t="s">
        <v>201</v>
      </c>
    </row>
    <row r="31" spans="1:10" x14ac:dyDescent="0.2">
      <c r="A31">
        <v>30</v>
      </c>
      <c r="B31" t="s">
        <v>263</v>
      </c>
      <c r="C31" s="28" t="s">
        <v>264</v>
      </c>
      <c r="D31" t="s">
        <v>29</v>
      </c>
      <c r="E31" s="26" t="s">
        <v>197</v>
      </c>
      <c r="F31" s="26"/>
      <c r="G31" s="26"/>
      <c r="H31" s="27" t="s">
        <v>189</v>
      </c>
      <c r="I31" s="26" t="s">
        <v>198</v>
      </c>
      <c r="J31" s="26" t="s">
        <v>194</v>
      </c>
    </row>
    <row r="32" spans="1:10" x14ac:dyDescent="0.2">
      <c r="A32">
        <v>32</v>
      </c>
      <c r="B32" t="s">
        <v>265</v>
      </c>
      <c r="C32" s="28" t="s">
        <v>266</v>
      </c>
      <c r="D32" t="s">
        <v>101</v>
      </c>
      <c r="E32" s="26" t="s">
        <v>186</v>
      </c>
      <c r="F32" s="26" t="s">
        <v>184</v>
      </c>
      <c r="G32" s="26"/>
      <c r="H32" s="26"/>
      <c r="I32" s="26" t="s">
        <v>198</v>
      </c>
      <c r="J32" s="26" t="s">
        <v>199</v>
      </c>
    </row>
    <row r="33" spans="1:10" x14ac:dyDescent="0.2">
      <c r="A33">
        <v>33</v>
      </c>
      <c r="B33" t="s">
        <v>267</v>
      </c>
      <c r="C33" s="28" t="s">
        <v>268</v>
      </c>
      <c r="D33" t="s">
        <v>100</v>
      </c>
      <c r="E33" s="26" t="s">
        <v>186</v>
      </c>
      <c r="F33" s="26"/>
      <c r="G33" s="26"/>
      <c r="H33" s="26"/>
      <c r="I33" s="26" t="s">
        <v>193</v>
      </c>
      <c r="J33" s="26" t="s">
        <v>194</v>
      </c>
    </row>
    <row r="34" spans="1:10" x14ac:dyDescent="0.2">
      <c r="A34">
        <v>34</v>
      </c>
      <c r="B34" t="s">
        <v>269</v>
      </c>
      <c r="C34" s="28" t="s">
        <v>270</v>
      </c>
      <c r="D34" t="s">
        <v>66</v>
      </c>
      <c r="E34" s="26" t="s">
        <v>186</v>
      </c>
      <c r="F34" s="26"/>
      <c r="G34" s="26"/>
      <c r="H34" s="26"/>
      <c r="I34" s="26" t="s">
        <v>198</v>
      </c>
      <c r="J34" s="26" t="s">
        <v>194</v>
      </c>
    </row>
    <row r="35" spans="1:10" x14ac:dyDescent="0.2">
      <c r="A35">
        <v>35</v>
      </c>
      <c r="B35" t="s">
        <v>271</v>
      </c>
      <c r="C35" s="28" t="s">
        <v>272</v>
      </c>
      <c r="D35" t="s">
        <v>73</v>
      </c>
      <c r="E35" s="26" t="s">
        <v>186</v>
      </c>
      <c r="F35" s="26"/>
      <c r="G35" s="26"/>
      <c r="H35" s="26"/>
      <c r="I35" s="26" t="s">
        <v>193</v>
      </c>
      <c r="J35" s="26" t="s">
        <v>194</v>
      </c>
    </row>
    <row r="36" spans="1:10" x14ac:dyDescent="0.2">
      <c r="A36">
        <v>36</v>
      </c>
      <c r="B36" t="s">
        <v>273</v>
      </c>
      <c r="C36" s="28" t="s">
        <v>274</v>
      </c>
      <c r="D36" t="s">
        <v>275</v>
      </c>
      <c r="E36" s="26" t="s">
        <v>186</v>
      </c>
      <c r="F36" s="26"/>
      <c r="G36" s="27" t="s">
        <v>18</v>
      </c>
      <c r="H36" s="26"/>
      <c r="I36" s="26" t="s">
        <v>193</v>
      </c>
      <c r="J36" s="26" t="s">
        <v>194</v>
      </c>
    </row>
    <row r="37" spans="1:10" x14ac:dyDescent="0.2">
      <c r="C37" s="28" t="s">
        <v>444</v>
      </c>
      <c r="D37" s="16" t="s">
        <v>445</v>
      </c>
      <c r="E37" s="26" t="s">
        <v>186</v>
      </c>
      <c r="F37" s="26"/>
      <c r="G37" s="27" t="s">
        <v>18</v>
      </c>
      <c r="H37" s="26"/>
      <c r="I37" s="27" t="s">
        <v>193</v>
      </c>
      <c r="J37" s="26" t="s">
        <v>194</v>
      </c>
    </row>
    <row r="38" spans="1:10" x14ac:dyDescent="0.2">
      <c r="A38">
        <v>39</v>
      </c>
      <c r="B38" t="s">
        <v>276</v>
      </c>
      <c r="C38" s="28" t="s">
        <v>277</v>
      </c>
      <c r="D38" t="s">
        <v>77</v>
      </c>
      <c r="E38" s="26" t="s">
        <v>186</v>
      </c>
      <c r="F38" s="26" t="s">
        <v>18</v>
      </c>
      <c r="G38" s="26"/>
      <c r="H38" s="26"/>
      <c r="I38" s="26" t="s">
        <v>198</v>
      </c>
      <c r="J38" s="26" t="s">
        <v>201</v>
      </c>
    </row>
    <row r="39" spans="1:10" x14ac:dyDescent="0.2">
      <c r="A39">
        <v>40</v>
      </c>
      <c r="B39" t="s">
        <v>278</v>
      </c>
      <c r="C39" s="28" t="s">
        <v>279</v>
      </c>
      <c r="D39" t="s">
        <v>27</v>
      </c>
      <c r="E39" s="26" t="s">
        <v>186</v>
      </c>
      <c r="F39" s="26" t="s">
        <v>184</v>
      </c>
      <c r="G39" s="26"/>
      <c r="H39" s="26"/>
      <c r="I39" s="26" t="s">
        <v>198</v>
      </c>
      <c r="J39" s="26" t="s">
        <v>199</v>
      </c>
    </row>
    <row r="40" spans="1:10" x14ac:dyDescent="0.2">
      <c r="A40">
        <v>41</v>
      </c>
      <c r="B40" t="s">
        <v>280</v>
      </c>
      <c r="C40" s="28" t="s">
        <v>281</v>
      </c>
      <c r="D40" t="s">
        <v>78</v>
      </c>
      <c r="E40" s="26" t="s">
        <v>197</v>
      </c>
      <c r="F40" s="26" t="s">
        <v>184</v>
      </c>
      <c r="G40" s="26"/>
      <c r="H40" s="27" t="s">
        <v>189</v>
      </c>
      <c r="I40" s="26" t="s">
        <v>198</v>
      </c>
      <c r="J40" s="26" t="s">
        <v>199</v>
      </c>
    </row>
    <row r="41" spans="1:10" x14ac:dyDescent="0.2">
      <c r="A41">
        <v>42</v>
      </c>
      <c r="B41" t="s">
        <v>282</v>
      </c>
      <c r="C41" s="28" t="s">
        <v>283</v>
      </c>
      <c r="D41" t="s">
        <v>68</v>
      </c>
      <c r="E41" s="26" t="s">
        <v>186</v>
      </c>
      <c r="F41" s="26" t="s">
        <v>184</v>
      </c>
      <c r="G41" s="26"/>
      <c r="H41" s="26"/>
      <c r="I41" s="26" t="s">
        <v>198</v>
      </c>
      <c r="J41" s="26" t="s">
        <v>199</v>
      </c>
    </row>
    <row r="42" spans="1:10" x14ac:dyDescent="0.2">
      <c r="A42">
        <v>43</v>
      </c>
      <c r="B42" t="s">
        <v>284</v>
      </c>
      <c r="C42" s="28" t="s">
        <v>285</v>
      </c>
      <c r="D42" t="s">
        <v>98</v>
      </c>
      <c r="E42" s="26" t="s">
        <v>186</v>
      </c>
      <c r="F42" s="26"/>
      <c r="G42" s="26"/>
      <c r="H42" s="26"/>
      <c r="I42" s="26" t="s">
        <v>193</v>
      </c>
      <c r="J42" s="26" t="s">
        <v>194</v>
      </c>
    </row>
    <row r="43" spans="1:10" x14ac:dyDescent="0.2">
      <c r="A43">
        <v>44</v>
      </c>
      <c r="B43" t="s">
        <v>286</v>
      </c>
      <c r="C43" s="28" t="s">
        <v>287</v>
      </c>
      <c r="D43" t="s">
        <v>92</v>
      </c>
      <c r="E43" s="26" t="s">
        <v>197</v>
      </c>
      <c r="F43" s="26" t="s">
        <v>184</v>
      </c>
      <c r="G43" s="26"/>
      <c r="H43" s="26"/>
      <c r="I43" s="26" t="s">
        <v>200</v>
      </c>
      <c r="J43" s="26" t="s">
        <v>199</v>
      </c>
    </row>
    <row r="44" spans="1:10" x14ac:dyDescent="0.2">
      <c r="A44">
        <v>45</v>
      </c>
      <c r="B44" t="s">
        <v>288</v>
      </c>
      <c r="C44" s="28" t="s">
        <v>289</v>
      </c>
      <c r="D44" t="s">
        <v>60</v>
      </c>
      <c r="E44" s="26" t="s">
        <v>186</v>
      </c>
      <c r="F44" s="26"/>
      <c r="G44" s="26"/>
      <c r="H44" s="26"/>
      <c r="I44" s="26" t="s">
        <v>198</v>
      </c>
      <c r="J44" s="26" t="s">
        <v>199</v>
      </c>
    </row>
    <row r="45" spans="1:10" x14ac:dyDescent="0.2">
      <c r="A45">
        <v>47</v>
      </c>
      <c r="B45" t="s">
        <v>290</v>
      </c>
      <c r="C45" s="28" t="s">
        <v>291</v>
      </c>
      <c r="D45" t="s">
        <v>57</v>
      </c>
      <c r="E45" s="26" t="s">
        <v>186</v>
      </c>
      <c r="F45" s="26" t="s">
        <v>18</v>
      </c>
      <c r="G45" s="26"/>
      <c r="H45" s="26"/>
      <c r="I45" s="26" t="s">
        <v>193</v>
      </c>
      <c r="J45" s="26" t="s">
        <v>201</v>
      </c>
    </row>
    <row r="46" spans="1:10" x14ac:dyDescent="0.2">
      <c r="A46">
        <v>48</v>
      </c>
      <c r="B46" t="s">
        <v>292</v>
      </c>
      <c r="C46" s="28" t="s">
        <v>293</v>
      </c>
      <c r="D46" t="s">
        <v>80</v>
      </c>
      <c r="E46" s="26" t="s">
        <v>186</v>
      </c>
      <c r="F46" s="26" t="s">
        <v>184</v>
      </c>
      <c r="G46" s="26"/>
      <c r="H46" s="27" t="s">
        <v>189</v>
      </c>
      <c r="I46" s="26" t="s">
        <v>200</v>
      </c>
      <c r="J46" s="26" t="s">
        <v>201</v>
      </c>
    </row>
    <row r="47" spans="1:10" x14ac:dyDescent="0.2">
      <c r="A47">
        <v>49</v>
      </c>
      <c r="B47" t="s">
        <v>294</v>
      </c>
      <c r="C47" s="28" t="s">
        <v>295</v>
      </c>
      <c r="D47" t="s">
        <v>62</v>
      </c>
      <c r="E47" s="26" t="s">
        <v>186</v>
      </c>
      <c r="F47" s="26"/>
      <c r="G47" s="26"/>
      <c r="H47" s="26"/>
      <c r="I47" s="26" t="s">
        <v>200</v>
      </c>
      <c r="J47" s="26" t="s">
        <v>194</v>
      </c>
    </row>
    <row r="48" spans="1:10" x14ac:dyDescent="0.2">
      <c r="A48">
        <v>50</v>
      </c>
      <c r="B48" t="s">
        <v>296</v>
      </c>
      <c r="C48" s="28" t="s">
        <v>297</v>
      </c>
      <c r="D48" t="s">
        <v>82</v>
      </c>
      <c r="E48" s="26" t="s">
        <v>186</v>
      </c>
      <c r="F48" s="26" t="s">
        <v>184</v>
      </c>
      <c r="G48" s="26"/>
      <c r="H48" s="26"/>
      <c r="I48" s="26" t="s">
        <v>198</v>
      </c>
      <c r="J48" s="26" t="s">
        <v>199</v>
      </c>
    </row>
    <row r="49" spans="1:10" x14ac:dyDescent="0.2">
      <c r="A49">
        <v>51</v>
      </c>
      <c r="B49" t="s">
        <v>298</v>
      </c>
      <c r="C49" s="28" t="s">
        <v>299</v>
      </c>
      <c r="D49" t="s">
        <v>83</v>
      </c>
      <c r="E49" s="26" t="s">
        <v>186</v>
      </c>
      <c r="F49" s="26" t="s">
        <v>18</v>
      </c>
      <c r="G49" s="26"/>
      <c r="H49" s="26"/>
      <c r="I49" s="26" t="s">
        <v>198</v>
      </c>
      <c r="J49" s="26" t="s">
        <v>201</v>
      </c>
    </row>
    <row r="50" spans="1:10" x14ac:dyDescent="0.2">
      <c r="A50">
        <v>52</v>
      </c>
      <c r="B50" t="s">
        <v>300</v>
      </c>
      <c r="C50" s="28" t="s">
        <v>301</v>
      </c>
      <c r="D50" t="s">
        <v>87</v>
      </c>
      <c r="E50" s="26" t="s">
        <v>186</v>
      </c>
      <c r="F50" s="26" t="s">
        <v>18</v>
      </c>
      <c r="G50" s="26"/>
      <c r="H50" s="26"/>
      <c r="I50" s="26" t="s">
        <v>198</v>
      </c>
      <c r="J50" s="26" t="s">
        <v>201</v>
      </c>
    </row>
    <row r="51" spans="1:10" x14ac:dyDescent="0.2">
      <c r="A51">
        <v>53</v>
      </c>
      <c r="B51" t="s">
        <v>302</v>
      </c>
      <c r="C51" s="28" t="s">
        <v>303</v>
      </c>
      <c r="D51" t="s">
        <v>84</v>
      </c>
      <c r="E51" s="26" t="s">
        <v>186</v>
      </c>
      <c r="F51" s="26" t="s">
        <v>184</v>
      </c>
      <c r="G51" s="26"/>
      <c r="H51" s="27" t="s">
        <v>189</v>
      </c>
      <c r="I51" s="26" t="s">
        <v>198</v>
      </c>
      <c r="J51" s="26" t="s">
        <v>196</v>
      </c>
    </row>
    <row r="52" spans="1:10" x14ac:dyDescent="0.2">
      <c r="A52">
        <v>54</v>
      </c>
      <c r="B52" t="s">
        <v>304</v>
      </c>
      <c r="C52" s="28" t="s">
        <v>305</v>
      </c>
      <c r="D52" t="s">
        <v>56</v>
      </c>
      <c r="E52" s="26" t="s">
        <v>186</v>
      </c>
      <c r="F52" s="26"/>
      <c r="G52" s="27" t="s">
        <v>18</v>
      </c>
      <c r="H52" s="26"/>
      <c r="I52" s="26" t="s">
        <v>198</v>
      </c>
      <c r="J52" s="26" t="s">
        <v>194</v>
      </c>
    </row>
    <row r="53" spans="1:10" x14ac:dyDescent="0.2">
      <c r="A53">
        <v>55</v>
      </c>
      <c r="B53" t="s">
        <v>306</v>
      </c>
      <c r="C53" s="28" t="s">
        <v>307</v>
      </c>
      <c r="D53" t="s">
        <v>65</v>
      </c>
      <c r="E53" s="26" t="s">
        <v>186</v>
      </c>
      <c r="F53" s="26"/>
      <c r="G53" s="27" t="s">
        <v>18</v>
      </c>
      <c r="H53" s="26"/>
      <c r="I53" s="26" t="s">
        <v>193</v>
      </c>
      <c r="J53" s="26" t="s">
        <v>196</v>
      </c>
    </row>
    <row r="54" spans="1:10" x14ac:dyDescent="0.2">
      <c r="A54">
        <v>56</v>
      </c>
      <c r="B54" t="s">
        <v>308</v>
      </c>
      <c r="C54" s="28" t="s">
        <v>309</v>
      </c>
      <c r="D54" t="s">
        <v>93</v>
      </c>
      <c r="E54" s="26" t="s">
        <v>186</v>
      </c>
      <c r="F54" s="26"/>
      <c r="G54" s="27" t="s">
        <v>18</v>
      </c>
      <c r="H54" s="26"/>
      <c r="I54" s="26" t="s">
        <v>193</v>
      </c>
      <c r="J54" s="26" t="s">
        <v>196</v>
      </c>
    </row>
    <row r="55" spans="1:10" x14ac:dyDescent="0.2">
      <c r="A55">
        <v>57</v>
      </c>
      <c r="B55" t="s">
        <v>310</v>
      </c>
      <c r="C55" s="28" t="s">
        <v>311</v>
      </c>
      <c r="D55" t="s">
        <v>86</v>
      </c>
      <c r="E55" s="26" t="s">
        <v>186</v>
      </c>
      <c r="F55" s="26" t="s">
        <v>18</v>
      </c>
      <c r="G55" s="27" t="s">
        <v>18</v>
      </c>
      <c r="H55" s="26"/>
      <c r="I55" s="26" t="s">
        <v>193</v>
      </c>
      <c r="J55" s="26" t="s">
        <v>201</v>
      </c>
    </row>
    <row r="56" spans="1:10" x14ac:dyDescent="0.2">
      <c r="A56">
        <v>58</v>
      </c>
      <c r="B56" t="s">
        <v>312</v>
      </c>
      <c r="C56" s="28" t="s">
        <v>313</v>
      </c>
      <c r="D56" t="s">
        <v>23</v>
      </c>
      <c r="E56" s="26" t="s">
        <v>186</v>
      </c>
      <c r="F56" s="26" t="s">
        <v>184</v>
      </c>
      <c r="G56" s="26"/>
      <c r="H56" s="26"/>
      <c r="I56" s="26" t="s">
        <v>198</v>
      </c>
      <c r="J56" s="26" t="s">
        <v>199</v>
      </c>
    </row>
    <row r="57" spans="1:10" x14ac:dyDescent="0.2">
      <c r="A57">
        <v>61</v>
      </c>
      <c r="B57" t="s">
        <v>314</v>
      </c>
      <c r="C57" s="28" t="s">
        <v>315</v>
      </c>
      <c r="D57" t="s">
        <v>26</v>
      </c>
      <c r="E57" s="26" t="s">
        <v>197</v>
      </c>
      <c r="F57" s="26" t="s">
        <v>184</v>
      </c>
      <c r="G57" s="26"/>
      <c r="H57" s="26"/>
      <c r="I57" s="26" t="s">
        <v>198</v>
      </c>
      <c r="J57" s="26" t="s">
        <v>199</v>
      </c>
    </row>
    <row r="58" spans="1:10" x14ac:dyDescent="0.2">
      <c r="A58">
        <v>62</v>
      </c>
      <c r="B58" t="s">
        <v>316</v>
      </c>
      <c r="C58" s="28" t="s">
        <v>317</v>
      </c>
      <c r="D58" t="s">
        <v>59</v>
      </c>
      <c r="E58" s="26" t="s">
        <v>186</v>
      </c>
      <c r="F58" s="26" t="s">
        <v>184</v>
      </c>
      <c r="G58" s="26"/>
      <c r="H58" s="26"/>
      <c r="I58" s="26" t="s">
        <v>202</v>
      </c>
      <c r="J58" s="26" t="s">
        <v>196</v>
      </c>
    </row>
    <row r="59" spans="1:10" x14ac:dyDescent="0.2">
      <c r="A59">
        <v>63</v>
      </c>
      <c r="B59" t="s">
        <v>318</v>
      </c>
      <c r="C59" s="28" t="s">
        <v>319</v>
      </c>
      <c r="D59" t="s">
        <v>72</v>
      </c>
      <c r="E59" s="26" t="s">
        <v>186</v>
      </c>
      <c r="F59" s="26" t="s">
        <v>184</v>
      </c>
      <c r="G59" s="26"/>
      <c r="H59" s="26"/>
      <c r="I59" s="26" t="s">
        <v>198</v>
      </c>
      <c r="J59" s="26" t="s">
        <v>199</v>
      </c>
    </row>
    <row r="60" spans="1:10" x14ac:dyDescent="0.2">
      <c r="A60">
        <v>64</v>
      </c>
      <c r="B60" t="s">
        <v>320</v>
      </c>
      <c r="C60" s="28" t="s">
        <v>321</v>
      </c>
      <c r="D60" t="s">
        <v>89</v>
      </c>
      <c r="E60" s="26" t="s">
        <v>186</v>
      </c>
      <c r="F60" s="26"/>
      <c r="G60" s="27" t="s">
        <v>18</v>
      </c>
      <c r="H60" s="26"/>
      <c r="I60" s="26" t="s">
        <v>200</v>
      </c>
      <c r="J60" s="26" t="s">
        <v>196</v>
      </c>
    </row>
    <row r="61" spans="1:10" x14ac:dyDescent="0.2">
      <c r="A61">
        <v>65</v>
      </c>
      <c r="B61" t="s">
        <v>322</v>
      </c>
      <c r="C61" s="28" t="s">
        <v>323</v>
      </c>
      <c r="D61" t="s">
        <v>61</v>
      </c>
      <c r="E61" s="26" t="s">
        <v>186</v>
      </c>
      <c r="F61" s="26" t="s">
        <v>184</v>
      </c>
      <c r="G61" s="26"/>
      <c r="H61" s="26"/>
      <c r="I61" s="26" t="s">
        <v>198</v>
      </c>
      <c r="J61" s="26" t="s">
        <v>199</v>
      </c>
    </row>
    <row r="62" spans="1:10" x14ac:dyDescent="0.2">
      <c r="A62">
        <v>66</v>
      </c>
      <c r="B62" t="s">
        <v>324</v>
      </c>
      <c r="C62" s="28" t="s">
        <v>325</v>
      </c>
      <c r="D62" t="s">
        <v>103</v>
      </c>
      <c r="E62" s="26" t="s">
        <v>186</v>
      </c>
      <c r="F62" s="26" t="s">
        <v>184</v>
      </c>
      <c r="G62" s="26"/>
      <c r="H62" s="26"/>
      <c r="I62" s="26" t="s">
        <v>198</v>
      </c>
      <c r="J62" s="26" t="s">
        <v>199</v>
      </c>
    </row>
    <row r="63" spans="1:10" x14ac:dyDescent="0.2">
      <c r="A63">
        <v>67</v>
      </c>
      <c r="B63" t="s">
        <v>326</v>
      </c>
      <c r="C63" s="28" t="s">
        <v>327</v>
      </c>
      <c r="D63" t="s">
        <v>102</v>
      </c>
      <c r="E63" s="26" t="s">
        <v>186</v>
      </c>
      <c r="F63" s="26" t="s">
        <v>184</v>
      </c>
      <c r="G63" s="26"/>
      <c r="H63" s="26"/>
      <c r="I63" s="26" t="s">
        <v>198</v>
      </c>
      <c r="J63" s="26" t="s">
        <v>199</v>
      </c>
    </row>
    <row r="64" spans="1:10" x14ac:dyDescent="0.2">
      <c r="A64">
        <v>68</v>
      </c>
      <c r="B64" t="s">
        <v>328</v>
      </c>
      <c r="C64" s="28" t="s">
        <v>329</v>
      </c>
      <c r="D64" t="s">
        <v>97</v>
      </c>
      <c r="E64" s="26" t="s">
        <v>186</v>
      </c>
      <c r="F64" s="26"/>
      <c r="G64" s="27" t="s">
        <v>18</v>
      </c>
      <c r="H64" s="26"/>
      <c r="I64" s="26" t="s">
        <v>193</v>
      </c>
      <c r="J64" s="26" t="s">
        <v>194</v>
      </c>
    </row>
    <row r="65" spans="1:10" x14ac:dyDescent="0.2">
      <c r="A65">
        <v>69</v>
      </c>
      <c r="B65" t="s">
        <v>330</v>
      </c>
      <c r="C65" s="28" t="s">
        <v>331</v>
      </c>
      <c r="D65" t="s">
        <v>104</v>
      </c>
      <c r="E65" s="26" t="s">
        <v>186</v>
      </c>
      <c r="F65" s="26"/>
      <c r="G65" s="26"/>
      <c r="H65" s="26"/>
      <c r="I65" s="26" t="s">
        <v>200</v>
      </c>
      <c r="J65" s="26" t="s">
        <v>196</v>
      </c>
    </row>
    <row r="66" spans="1:10" x14ac:dyDescent="0.2">
      <c r="A66">
        <v>70</v>
      </c>
      <c r="B66" t="s">
        <v>332</v>
      </c>
      <c r="C66" s="28" t="s">
        <v>333</v>
      </c>
      <c r="D66" t="s">
        <v>74</v>
      </c>
      <c r="E66" s="26" t="s">
        <v>186</v>
      </c>
      <c r="F66" s="26"/>
      <c r="G66" s="27" t="s">
        <v>18</v>
      </c>
      <c r="H66" s="26"/>
      <c r="I66" s="26" t="s">
        <v>193</v>
      </c>
      <c r="J66" s="26" t="s">
        <v>194</v>
      </c>
    </row>
    <row r="67" spans="1:10" x14ac:dyDescent="0.2">
      <c r="A67">
        <v>71</v>
      </c>
      <c r="B67" t="s">
        <v>334</v>
      </c>
      <c r="C67" s="28" t="s">
        <v>335</v>
      </c>
      <c r="D67" t="s">
        <v>336</v>
      </c>
      <c r="E67" s="26" t="s">
        <v>186</v>
      </c>
      <c r="F67" s="27" t="s">
        <v>18</v>
      </c>
      <c r="G67" s="26"/>
      <c r="H67" s="26"/>
      <c r="I67" s="26" t="s">
        <v>198</v>
      </c>
      <c r="J67" s="26" t="s">
        <v>199</v>
      </c>
    </row>
    <row r="68" spans="1:10" x14ac:dyDescent="0.2">
      <c r="A68">
        <v>72</v>
      </c>
      <c r="B68" t="s">
        <v>337</v>
      </c>
      <c r="C68" s="28" t="s">
        <v>338</v>
      </c>
      <c r="D68" t="s">
        <v>371</v>
      </c>
      <c r="E68" s="26" t="s">
        <v>186</v>
      </c>
      <c r="F68" s="26"/>
      <c r="G68" s="26"/>
      <c r="H68" s="26"/>
      <c r="I68" s="26" t="s">
        <v>198</v>
      </c>
      <c r="J68" s="26" t="s">
        <v>199</v>
      </c>
    </row>
    <row r="69" spans="1:10" x14ac:dyDescent="0.2">
      <c r="A69">
        <v>73</v>
      </c>
      <c r="B69" t="s">
        <v>339</v>
      </c>
      <c r="C69" s="28" t="s">
        <v>340</v>
      </c>
      <c r="D69" t="s">
        <v>372</v>
      </c>
      <c r="E69" s="26" t="s">
        <v>186</v>
      </c>
      <c r="F69" s="26"/>
      <c r="G69" s="26"/>
      <c r="H69" s="26"/>
      <c r="I69" s="26" t="s">
        <v>198</v>
      </c>
      <c r="J69" s="26" t="s">
        <v>199</v>
      </c>
    </row>
    <row r="70" spans="1:10" x14ac:dyDescent="0.2">
      <c r="A70">
        <v>74</v>
      </c>
      <c r="B70" t="s">
        <v>341</v>
      </c>
      <c r="C70" s="28" t="s">
        <v>342</v>
      </c>
      <c r="D70" t="s">
        <v>373</v>
      </c>
      <c r="E70" s="26" t="s">
        <v>186</v>
      </c>
      <c r="F70" s="26"/>
      <c r="G70" s="26"/>
      <c r="H70" s="26"/>
      <c r="I70" s="26" t="s">
        <v>198</v>
      </c>
      <c r="J70" s="26" t="s">
        <v>199</v>
      </c>
    </row>
    <row r="71" spans="1:10" x14ac:dyDescent="0.2">
      <c r="A71">
        <v>75</v>
      </c>
      <c r="B71" t="s">
        <v>343</v>
      </c>
      <c r="C71" s="28" t="s">
        <v>344</v>
      </c>
      <c r="D71" t="s">
        <v>374</v>
      </c>
      <c r="E71" s="26" t="s">
        <v>186</v>
      </c>
      <c r="F71" s="26"/>
      <c r="G71" s="26"/>
      <c r="H71" s="26"/>
      <c r="I71" s="26" t="s">
        <v>198</v>
      </c>
      <c r="J71" s="26" t="s">
        <v>201</v>
      </c>
    </row>
    <row r="72" spans="1:10" x14ac:dyDescent="0.2">
      <c r="A72">
        <v>78</v>
      </c>
      <c r="B72" t="s">
        <v>345</v>
      </c>
      <c r="C72" s="28" t="s">
        <v>346</v>
      </c>
      <c r="D72" t="s">
        <v>375</v>
      </c>
      <c r="E72" s="26" t="s">
        <v>186</v>
      </c>
      <c r="F72" s="26"/>
      <c r="G72" s="26"/>
      <c r="H72" s="26"/>
      <c r="I72" s="26" t="s">
        <v>198</v>
      </c>
      <c r="J72" s="26" t="s">
        <v>201</v>
      </c>
    </row>
    <row r="73" spans="1:10" x14ac:dyDescent="0.2">
      <c r="A73">
        <v>79</v>
      </c>
      <c r="B73" t="s">
        <v>347</v>
      </c>
      <c r="C73" s="28" t="s">
        <v>348</v>
      </c>
      <c r="D73" t="s">
        <v>376</v>
      </c>
      <c r="E73" s="26" t="s">
        <v>186</v>
      </c>
      <c r="F73" s="26"/>
      <c r="G73" s="26"/>
      <c r="H73" s="26"/>
      <c r="I73" s="26" t="s">
        <v>198</v>
      </c>
      <c r="J73" s="26" t="s">
        <v>201</v>
      </c>
    </row>
  </sheetData>
  <sheetProtection password="9E3E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"/>
  <sheetViews>
    <sheetView tabSelected="1" zoomScaleNormal="100" workbookViewId="0">
      <selection sqref="A1:C1"/>
    </sheetView>
  </sheetViews>
  <sheetFormatPr baseColWidth="10" defaultRowHeight="12.75" x14ac:dyDescent="0.2"/>
  <cols>
    <col min="1" max="1" width="32.7109375" customWidth="1"/>
    <col min="2" max="3" width="28.7109375" customWidth="1"/>
    <col min="4" max="4" width="1.7109375" customWidth="1"/>
    <col min="5" max="5" width="51.85546875" bestFit="1" customWidth="1"/>
  </cols>
  <sheetData>
    <row r="1" spans="1:16" ht="18" x14ac:dyDescent="0.25">
      <c r="A1" s="243" t="s">
        <v>108</v>
      </c>
      <c r="B1" s="244"/>
      <c r="C1" s="245"/>
      <c r="E1" s="147" t="s">
        <v>448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5" x14ac:dyDescent="0.2">
      <c r="A2" s="246" t="s">
        <v>440</v>
      </c>
      <c r="B2" s="247"/>
      <c r="C2" s="248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x14ac:dyDescent="0.2">
      <c r="A3" s="249" t="s">
        <v>449</v>
      </c>
      <c r="B3" s="250"/>
      <c r="C3" s="25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9.9499999999999993" customHeight="1" x14ac:dyDescent="0.2"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">
      <c r="A5" s="12" t="s">
        <v>110</v>
      </c>
      <c r="B5" s="43"/>
      <c r="C5" s="1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6" x14ac:dyDescent="0.2">
      <c r="A6" s="3" t="s">
        <v>123</v>
      </c>
      <c r="B6" s="44" t="s">
        <v>36</v>
      </c>
      <c r="C6" s="7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6" x14ac:dyDescent="0.2">
      <c r="A7" s="3" t="s">
        <v>109</v>
      </c>
      <c r="B7" s="44"/>
      <c r="C7" s="7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x14ac:dyDescent="0.2">
      <c r="A8" s="3" t="s">
        <v>111</v>
      </c>
      <c r="B8" s="44"/>
      <c r="C8" s="7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x14ac:dyDescent="0.2">
      <c r="A9" s="3" t="s">
        <v>112</v>
      </c>
      <c r="B9" s="44">
        <v>0</v>
      </c>
      <c r="C9" s="7" t="s">
        <v>162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x14ac:dyDescent="0.2">
      <c r="A10" s="3" t="s">
        <v>116</v>
      </c>
      <c r="B10" s="44"/>
      <c r="C10" s="7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6" x14ac:dyDescent="0.2">
      <c r="A11" s="3" t="s">
        <v>118</v>
      </c>
      <c r="B11" s="44" t="s">
        <v>113</v>
      </c>
      <c r="C11" s="7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x14ac:dyDescent="0.2">
      <c r="A12" s="3" t="s">
        <v>119</v>
      </c>
      <c r="B12" s="44">
        <f>B14-B13</f>
        <v>0</v>
      </c>
      <c r="C12" s="7" t="s">
        <v>138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6" x14ac:dyDescent="0.2">
      <c r="A13" s="3" t="s">
        <v>120</v>
      </c>
      <c r="B13" s="45"/>
      <c r="C13" s="7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6" x14ac:dyDescent="0.2">
      <c r="A14" s="3" t="s">
        <v>136</v>
      </c>
      <c r="B14" s="45"/>
      <c r="C14" s="7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16" x14ac:dyDescent="0.2">
      <c r="A15" s="3" t="s">
        <v>121</v>
      </c>
      <c r="B15" s="44">
        <f>B17-B16</f>
        <v>0</v>
      </c>
      <c r="C15" s="21" t="s">
        <v>138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16" x14ac:dyDescent="0.2">
      <c r="A16" s="3" t="s">
        <v>122</v>
      </c>
      <c r="B16" s="45"/>
      <c r="C16" s="7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1:16" x14ac:dyDescent="0.2">
      <c r="A17" s="3" t="s">
        <v>137</v>
      </c>
      <c r="B17" s="45"/>
      <c r="C17" s="7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16" x14ac:dyDescent="0.2">
      <c r="A18" s="3" t="s">
        <v>135</v>
      </c>
      <c r="B18" s="45"/>
      <c r="C18" s="7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1:16" x14ac:dyDescent="0.2">
      <c r="A19" s="3"/>
      <c r="B19" s="45"/>
      <c r="C19" s="7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x14ac:dyDescent="0.2">
      <c r="A20" s="3"/>
      <c r="B20" s="45"/>
      <c r="C20" s="7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 x14ac:dyDescent="0.2">
      <c r="A21" s="99" t="s">
        <v>398</v>
      </c>
      <c r="B21" s="45"/>
      <c r="C21" s="7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6" x14ac:dyDescent="0.2">
      <c r="A22" s="3"/>
      <c r="B22" s="45"/>
      <c r="C22" s="7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</row>
    <row r="23" spans="1:16" x14ac:dyDescent="0.2">
      <c r="A23" s="269" t="s">
        <v>117</v>
      </c>
      <c r="B23" s="261"/>
      <c r="C23" s="262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16" x14ac:dyDescent="0.2">
      <c r="A24" s="270"/>
      <c r="B24" s="263"/>
      <c r="C24" s="264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</row>
    <row r="25" spans="1:16" x14ac:dyDescent="0.2">
      <c r="A25" s="270"/>
      <c r="B25" s="263"/>
      <c r="C25" s="264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</row>
    <row r="26" spans="1:16" x14ac:dyDescent="0.2">
      <c r="A26" s="270"/>
      <c r="B26" s="263"/>
      <c r="C26" s="264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1:16" x14ac:dyDescent="0.2">
      <c r="A27" s="271"/>
      <c r="B27" s="265"/>
      <c r="C27" s="266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1:16" ht="9.9499999999999993" customHeight="1" x14ac:dyDescent="0.2"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6" x14ac:dyDescent="0.2">
      <c r="A29" s="46" t="s">
        <v>1</v>
      </c>
      <c r="B29" s="57"/>
      <c r="C29" s="58" t="s">
        <v>368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1:16" x14ac:dyDescent="0.2">
      <c r="A30" s="274" t="s">
        <v>2</v>
      </c>
      <c r="B30" s="275"/>
      <c r="C30" s="59">
        <f>EINGABE!$N$8</f>
        <v>1</v>
      </c>
      <c r="E30" s="71"/>
      <c r="F30" s="74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1:16" x14ac:dyDescent="0.2">
      <c r="A31" s="229" t="s">
        <v>3</v>
      </c>
      <c r="B31" s="256"/>
      <c r="C31" s="4" t="e">
        <f>EINGABE!$N$44</f>
        <v>#DIV/0!</v>
      </c>
      <c r="E31" s="71"/>
      <c r="F31" s="74"/>
      <c r="G31" s="71"/>
      <c r="H31" s="71"/>
      <c r="I31" s="71"/>
      <c r="J31" s="71"/>
      <c r="K31" s="71"/>
      <c r="L31" s="71"/>
      <c r="M31" s="71"/>
      <c r="N31" s="71"/>
      <c r="O31" s="71"/>
      <c r="P31" s="71"/>
    </row>
    <row r="32" spans="1:16" x14ac:dyDescent="0.2">
      <c r="A32" s="229" t="s">
        <v>12</v>
      </c>
      <c r="B32" s="256"/>
      <c r="C32" s="4" t="str">
        <f>EINGABE!$N$55</f>
        <v>inaktiv</v>
      </c>
      <c r="E32" s="71"/>
      <c r="F32" s="74"/>
      <c r="G32" s="71"/>
      <c r="H32" s="71"/>
      <c r="I32" s="71"/>
      <c r="J32" s="71"/>
      <c r="K32" s="71"/>
      <c r="L32" s="71"/>
      <c r="M32" s="71"/>
      <c r="N32" s="71"/>
      <c r="O32" s="71"/>
      <c r="P32" s="71"/>
    </row>
    <row r="33" spans="1:16" x14ac:dyDescent="0.2">
      <c r="A33" s="252" t="s">
        <v>395</v>
      </c>
      <c r="B33" s="256"/>
      <c r="C33" s="4">
        <f>EINGABE!K68</f>
        <v>2</v>
      </c>
      <c r="E33" s="71"/>
      <c r="F33" s="74"/>
      <c r="G33" s="71"/>
      <c r="H33" s="71"/>
      <c r="I33" s="71"/>
      <c r="J33" s="71"/>
      <c r="K33" s="71"/>
      <c r="L33" s="71"/>
      <c r="M33" s="71"/>
      <c r="N33" s="71"/>
      <c r="O33" s="71"/>
      <c r="P33" s="71"/>
    </row>
    <row r="34" spans="1:16" x14ac:dyDescent="0.2">
      <c r="A34" s="252" t="s">
        <v>378</v>
      </c>
      <c r="B34" s="253"/>
      <c r="C34" s="4" t="str">
        <f>IF(EINGABE!K67="aktiv",EINGABE!K66,"inaktiv")</f>
        <v>inaktiv</v>
      </c>
      <c r="E34" s="71"/>
      <c r="F34" s="74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1:16" x14ac:dyDescent="0.2">
      <c r="A35" s="229" t="s">
        <v>152</v>
      </c>
      <c r="B35" s="256"/>
      <c r="C35" s="4" t="str">
        <f>EINGABE!$N$73</f>
        <v>OK</v>
      </c>
      <c r="E35" s="71"/>
      <c r="F35" s="74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6" x14ac:dyDescent="0.2">
      <c r="A36" s="229" t="s">
        <v>13</v>
      </c>
      <c r="B36" s="256"/>
      <c r="C36" s="4" t="str">
        <f>EINGABE!$N$76</f>
        <v>inaktiv</v>
      </c>
      <c r="E36" s="71"/>
      <c r="F36" s="74"/>
      <c r="G36" s="71"/>
      <c r="H36" s="71"/>
      <c r="I36" s="71"/>
      <c r="J36" s="71"/>
      <c r="K36" s="71"/>
      <c r="L36" s="71"/>
      <c r="M36" s="71"/>
      <c r="N36" s="71"/>
      <c r="O36" s="71"/>
      <c r="P36" s="71"/>
    </row>
    <row r="37" spans="1:16" x14ac:dyDescent="0.2">
      <c r="A37" s="252" t="s">
        <v>367</v>
      </c>
      <c r="B37" s="253"/>
      <c r="C37" s="24" t="e">
        <f>MEDIAN(C30:C34)</f>
        <v>#DIV/0!</v>
      </c>
      <c r="E37" s="71"/>
      <c r="F37" s="72"/>
      <c r="G37" s="71"/>
      <c r="H37" s="71"/>
      <c r="I37" s="71"/>
      <c r="J37" s="71"/>
      <c r="K37" s="148"/>
      <c r="L37" s="71"/>
      <c r="M37" s="71"/>
      <c r="N37" s="71"/>
      <c r="O37" s="71"/>
      <c r="P37" s="71"/>
    </row>
    <row r="38" spans="1:16" hidden="1" x14ac:dyDescent="0.2">
      <c r="A38" s="3" t="s">
        <v>5</v>
      </c>
      <c r="B38" s="15"/>
      <c r="C38" s="4" t="e">
        <f>IF(C37&lt;=Klassengrenzen!$C$2,Klassengrenzen!$A$2,IF(C37&lt;=Klassengrenzen!$C$3,Klassengrenzen!$A$3,IF(C37&lt;=Klassengrenzen!$C$4,Klassengrenzen!$A$4,IF(C37&lt;=Klassengrenzen!$C$5,Klassengrenzen!$A$5,IF(C37&lt;=Klassengrenzen!$C$6,Klassengrenzen!$A$6,"Fehler")))))</f>
        <v>#DIV/0!</v>
      </c>
      <c r="E38" s="97" t="s">
        <v>396</v>
      </c>
      <c r="F38" s="74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1:16" hidden="1" x14ac:dyDescent="0.2">
      <c r="A39" s="3" t="s">
        <v>5</v>
      </c>
      <c r="B39" s="27"/>
      <c r="C39" s="4" t="e">
        <f>IF(MAX(C30:C33)&gt;=C38+2,MAX(C30:C33)-1,C38)</f>
        <v>#DIV/0!</v>
      </c>
      <c r="E39" s="97" t="s">
        <v>396</v>
      </c>
      <c r="F39" s="74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x14ac:dyDescent="0.2">
      <c r="A40" s="257" t="s">
        <v>354</v>
      </c>
      <c r="B40" s="258"/>
      <c r="C40" s="13" t="e">
        <f>IF(C35="KO",IF(C39&lt;3,3,C39),C39)</f>
        <v>#DIV/0!</v>
      </c>
      <c r="E40" s="71"/>
      <c r="F40" s="74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x14ac:dyDescent="0.2">
      <c r="A41" s="259" t="s">
        <v>9</v>
      </c>
      <c r="B41" s="260"/>
      <c r="C41" s="5" t="e">
        <f>IF(AND(C33="nicht nachgewiesen",OR(C40=1,C40=2)),CONCATENATE(LOOKUP(C40,Klassengrenzen!$A$2:$A$6,Klassengrenzen!$D$2:$D$6),"*"),LOOKUP(C40,Klassengrenzen!$A$2:$A$6,Klassengrenzen!$D$2:$D$6))</f>
        <v>#DIV/0!</v>
      </c>
      <c r="E41" s="71"/>
      <c r="F41" s="74"/>
      <c r="G41" s="71"/>
      <c r="H41" s="71"/>
      <c r="I41" s="71"/>
      <c r="J41" s="71"/>
      <c r="K41" s="71"/>
      <c r="L41" s="71"/>
      <c r="M41" s="71"/>
      <c r="N41" s="71"/>
      <c r="O41" s="71"/>
      <c r="P41" s="71"/>
    </row>
    <row r="42" spans="1:16" x14ac:dyDescent="0.2">
      <c r="A42" s="257" t="s">
        <v>366</v>
      </c>
      <c r="B42" s="258"/>
      <c r="C42" s="60" t="str">
        <f>IF(C36="inaktiv","-",IF(C36="KO",IF(C40&lt;3,3,C40),C40))</f>
        <v>-</v>
      </c>
      <c r="E42" s="71"/>
      <c r="F42" s="73"/>
      <c r="G42" s="71"/>
      <c r="H42" s="71"/>
      <c r="I42" s="71"/>
      <c r="J42" s="71"/>
      <c r="K42" s="71"/>
      <c r="L42" s="71"/>
      <c r="M42" s="71"/>
      <c r="N42" s="71"/>
      <c r="O42" s="71"/>
      <c r="P42" s="71"/>
    </row>
    <row r="43" spans="1:16" x14ac:dyDescent="0.2">
      <c r="A43" s="259" t="s">
        <v>9</v>
      </c>
      <c r="B43" s="260"/>
      <c r="C43" s="5" t="str">
        <f>IF(C42="-","-",IF(AND(C33="nicht nachgewiesen",OR(C42=1,C42=2)),CONCATENATE(LOOKUP(C42,Klassengrenzen!$A$2:$A$6,Klassengrenzen!$D$2:$D$6),"*"),LOOKUP(C42,Klassengrenzen!$A$2:$A$6,Klassengrenzen!$D$2:$D$6)))</f>
        <v>-</v>
      </c>
      <c r="E43" s="71"/>
      <c r="F43" s="75"/>
      <c r="G43" s="71"/>
      <c r="H43" s="71"/>
      <c r="I43" s="71"/>
      <c r="J43" s="71"/>
      <c r="K43" s="71"/>
      <c r="L43" s="71"/>
      <c r="M43" s="71"/>
      <c r="N43" s="71"/>
      <c r="O43" s="71"/>
      <c r="P43" s="71"/>
    </row>
    <row r="44" spans="1:16" ht="9.9499999999999993" customHeight="1" x14ac:dyDescent="0.2">
      <c r="A44" s="2"/>
      <c r="B44" s="19"/>
      <c r="C44" s="19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</row>
    <row r="45" spans="1:16" x14ac:dyDescent="0.2">
      <c r="A45" s="98" t="s">
        <v>397</v>
      </c>
      <c r="B45" s="276" t="str">
        <f>IF(EINGABE!C3="&lt; 100","gering (Mindestbestandsgröße unterschritten)","hoch (Mindestbestandsgröße überschritten)")</f>
        <v>hoch (Mindestbestandsgröße überschritten)</v>
      </c>
      <c r="C45" s="277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1:16" x14ac:dyDescent="0.2">
      <c r="A46" s="46" t="s">
        <v>174</v>
      </c>
      <c r="B46" s="267" t="str">
        <f>IF(C30&gt;2,"Qualitativer Fischaufstieg","")</f>
        <v/>
      </c>
      <c r="C46" s="268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  <row r="47" spans="1:16" x14ac:dyDescent="0.2">
      <c r="A47" s="47" t="s">
        <v>175</v>
      </c>
      <c r="B47" s="254" t="e">
        <f>IF(C31&gt;2,"Quantitativer Fischaufstieg - Kurzstreckenwanderer","")</f>
        <v>#DIV/0!</v>
      </c>
      <c r="C47" s="255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</row>
    <row r="48" spans="1:16" x14ac:dyDescent="0.2">
      <c r="A48" s="47"/>
      <c r="B48" s="254" t="str">
        <f>IF(AND(C32&lt;&gt;"inaktiv",C32&gt;2),"Quantitativer Fischaufstieg - Mittelstreckenwanderer","")</f>
        <v/>
      </c>
      <c r="C48" s="255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</row>
    <row r="49" spans="1:16" x14ac:dyDescent="0.2">
      <c r="A49" s="47"/>
      <c r="B49" s="254" t="str">
        <f>IF(C33="nicht nachgewiesen","* Eignung größenbestimmender Fischart nicht nachgewiesen",IF(C33&gt;2,"Größenbestimmende Fischart",""))</f>
        <v/>
      </c>
      <c r="C49" s="255"/>
      <c r="E49" s="97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</row>
    <row r="50" spans="1:16" x14ac:dyDescent="0.2">
      <c r="A50" s="47"/>
      <c r="B50" s="254" t="str">
        <f>IF(C34="inaktiv","",IF(C34&gt;2,"Aufstieg größenselektiv",""))</f>
        <v/>
      </c>
      <c r="C50" s="255"/>
      <c r="E50" s="97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1:16" x14ac:dyDescent="0.2">
      <c r="A51" s="48"/>
      <c r="B51" s="254" t="str">
        <f>IF(EINGABE!F71="kein Vorkommen",CONCATENATE(EINGABE!B71," nicht untersuchbar"),IF(EINGABE!I71="nicht erfüllt",EINGABE!B71,""))</f>
        <v/>
      </c>
      <c r="C51" s="255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x14ac:dyDescent="0.2">
      <c r="A52" s="48"/>
      <c r="B52" s="254" t="str">
        <f>IF(EINGABE!F72="kein Vorkommen",CONCATENATE(EINGABE!B72," nicht untersuchbar"),IF(EINGABE!I72="nicht erfüllt",EINGABE!B72,""))</f>
        <v/>
      </c>
      <c r="C52" s="255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</row>
    <row r="53" spans="1:16" x14ac:dyDescent="0.2">
      <c r="A53" s="48"/>
      <c r="B53" s="254" t="str">
        <f>IF(EINGABE!F73="kein Vorkommen",CONCATENATE(EINGABE!B73," nicht untersuchbar"),IF(EINGABE!I73="nicht erfüllt",EINGABE!B73,""))</f>
        <v/>
      </c>
      <c r="C53" s="255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</row>
    <row r="54" spans="1:16" x14ac:dyDescent="0.2">
      <c r="A54" s="49"/>
      <c r="B54" s="272" t="str">
        <f>IF(EINGABE!F76="nicht erfüllt",LEFT(EINGABE!B76,57),"")</f>
        <v/>
      </c>
      <c r="C54" s="273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</row>
    <row r="55" spans="1:16" ht="5.25" customHeight="1" x14ac:dyDescent="0.2">
      <c r="A55" s="76"/>
      <c r="B55" s="75"/>
      <c r="C55" s="77"/>
    </row>
    <row r="56" spans="1:16" x14ac:dyDescent="0.2">
      <c r="A56" s="2"/>
      <c r="B56" s="19"/>
      <c r="C56" s="20"/>
    </row>
    <row r="57" spans="1:16" x14ac:dyDescent="0.2">
      <c r="A57" s="2"/>
      <c r="B57" s="19"/>
      <c r="C57" s="20"/>
    </row>
    <row r="58" spans="1:16" x14ac:dyDescent="0.2">
      <c r="A58" s="2"/>
      <c r="B58" s="19"/>
      <c r="C58" s="20"/>
    </row>
    <row r="59" spans="1:16" x14ac:dyDescent="0.2">
      <c r="A59" s="2"/>
      <c r="B59" s="19"/>
      <c r="C59" s="20"/>
    </row>
    <row r="60" spans="1:16" x14ac:dyDescent="0.2">
      <c r="A60" s="2"/>
      <c r="B60" s="19"/>
      <c r="C60" s="20"/>
    </row>
    <row r="61" spans="1:16" x14ac:dyDescent="0.2">
      <c r="A61" s="2"/>
      <c r="B61" s="19"/>
      <c r="C61" s="20"/>
    </row>
  </sheetData>
  <sheetProtection algorithmName="SHA-512" hashValue="L6GhPJmCXBL4bisAzCkd1ZufmC3IOZY+mqrUMzF4T/J9nzzxwyc1wA7qo1JJyP94cv5LN00lJOvaFicTA+QS8Q==" saltValue="BDIOSsy7wsP+D7F1aD6lYQ==" spinCount="100000" sheet="1" selectLockedCells="1"/>
  <mergeCells count="27">
    <mergeCell ref="B51:C51"/>
    <mergeCell ref="B52:C52"/>
    <mergeCell ref="B54:C54"/>
    <mergeCell ref="B53:C53"/>
    <mergeCell ref="A30:B30"/>
    <mergeCell ref="A31:B31"/>
    <mergeCell ref="B50:C50"/>
    <mergeCell ref="B45:C45"/>
    <mergeCell ref="B48:C48"/>
    <mergeCell ref="B49:C49"/>
    <mergeCell ref="A32:B32"/>
    <mergeCell ref="A33:B33"/>
    <mergeCell ref="A23:A27"/>
    <mergeCell ref="A1:C1"/>
    <mergeCell ref="A2:C2"/>
    <mergeCell ref="A3:C3"/>
    <mergeCell ref="A34:B34"/>
    <mergeCell ref="B47:C47"/>
    <mergeCell ref="A35:B35"/>
    <mergeCell ref="A36:B36"/>
    <mergeCell ref="A37:B37"/>
    <mergeCell ref="A40:B40"/>
    <mergeCell ref="A41:B41"/>
    <mergeCell ref="A42:B42"/>
    <mergeCell ref="A43:B43"/>
    <mergeCell ref="B23:C27"/>
    <mergeCell ref="B46:C46"/>
  </mergeCells>
  <phoneticPr fontId="0" type="noConversion"/>
  <conditionalFormatting sqref="B49:C53">
    <cfRule type="containsText" dxfId="15" priority="6" operator="containsText" text="nicht untersuchbar">
      <formula>NOT(ISERROR(SEARCH("nicht untersuchbar",B49)))</formula>
    </cfRule>
  </conditionalFormatting>
  <conditionalFormatting sqref="C40">
    <cfRule type="cellIs" dxfId="14" priority="1" operator="equal">
      <formula>5</formula>
    </cfRule>
    <cfRule type="cellIs" dxfId="13" priority="2" operator="equal">
      <formula>4</formula>
    </cfRule>
    <cfRule type="cellIs" dxfId="12" priority="3" stopIfTrue="1" operator="equal">
      <formula>1</formula>
    </cfRule>
    <cfRule type="cellIs" dxfId="11" priority="4" stopIfTrue="1" operator="equal">
      <formula>2</formula>
    </cfRule>
    <cfRule type="cellIs" dxfId="10" priority="5" stopIfTrue="1" operator="equal">
      <formula>3</formula>
    </cfRule>
  </conditionalFormatting>
  <conditionalFormatting sqref="C42">
    <cfRule type="cellIs" dxfId="9" priority="14" operator="equal">
      <formula>5</formula>
    </cfRule>
    <cfRule type="cellIs" dxfId="8" priority="15" operator="equal">
      <formula>4</formula>
    </cfRule>
    <cfRule type="cellIs" dxfId="7" priority="16" stopIfTrue="1" operator="equal">
      <formula>1</formula>
    </cfRule>
    <cfRule type="cellIs" dxfId="6" priority="17" stopIfTrue="1" operator="equal">
      <formula>2</formula>
    </cfRule>
    <cfRule type="cellIs" dxfId="5" priority="18" stopIfTrue="1" operator="equal">
      <formula>3</formula>
    </cfRule>
  </conditionalFormatting>
  <conditionalFormatting sqref="F42">
    <cfRule type="cellIs" dxfId="4" priority="7" operator="equal">
      <formula>5</formula>
    </cfRule>
    <cfRule type="cellIs" dxfId="3" priority="8" operator="equal">
      <formula>4</formula>
    </cfRule>
    <cfRule type="cellIs" dxfId="2" priority="9" stopIfTrue="1" operator="equal">
      <formula>1</formula>
    </cfRule>
    <cfRule type="cellIs" dxfId="1" priority="10" stopIfTrue="1" operator="equal">
      <formula>2</formula>
    </cfRule>
    <cfRule type="cellIs" dxfId="0" priority="11" stopIfTrue="1" operator="equal">
      <formula>3</formula>
    </cfRule>
  </conditionalFormatting>
  <dataValidations count="3">
    <dataValidation type="list" allowBlank="1" showInputMessage="1" showErrorMessage="1" sqref="B8" xr:uid="{00000000-0002-0000-0100-000000000000}">
      <formula1>Bautyp_FMH</formula1>
    </dataValidation>
    <dataValidation type="list" allowBlank="1" showInputMessage="1" showErrorMessage="1" sqref="B11" xr:uid="{00000000-0002-0000-0100-000001000000}">
      <formula1>Methode</formula1>
    </dataValidation>
    <dataValidation type="list" allowBlank="1" showInputMessage="1" showErrorMessage="1" sqref="B6" xr:uid="{00000000-0002-0000-0100-000002000000}">
      <formula1>Fischregion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ignoredErrors>
    <ignoredError sqref="C42" formula="1"/>
    <ignoredError sqref="B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activeCell="B5" sqref="B5"/>
    </sheetView>
  </sheetViews>
  <sheetFormatPr baseColWidth="10" defaultRowHeight="12.75" x14ac:dyDescent="0.2"/>
  <cols>
    <col min="2" max="2" width="12.42578125" bestFit="1" customWidth="1"/>
    <col min="3" max="3" width="8" bestFit="1" customWidth="1"/>
    <col min="4" max="4" width="24.7109375" bestFit="1" customWidth="1"/>
  </cols>
  <sheetData>
    <row r="1" spans="1:4" x14ac:dyDescent="0.2">
      <c r="A1" s="2" t="s">
        <v>4</v>
      </c>
      <c r="B1" s="2" t="s">
        <v>0</v>
      </c>
      <c r="C1" s="2" t="s">
        <v>442</v>
      </c>
      <c r="D1" s="2" t="s">
        <v>9</v>
      </c>
    </row>
    <row r="2" spans="1:4" x14ac:dyDescent="0.2">
      <c r="A2">
        <v>1</v>
      </c>
      <c r="B2">
        <v>1.5</v>
      </c>
      <c r="C2" s="1">
        <v>1.49</v>
      </c>
      <c r="D2" t="s">
        <v>6</v>
      </c>
    </row>
    <row r="3" spans="1:4" x14ac:dyDescent="0.2">
      <c r="A3">
        <v>2</v>
      </c>
      <c r="B3">
        <v>2.5</v>
      </c>
      <c r="C3" s="1">
        <v>2.4900000000000002</v>
      </c>
      <c r="D3" t="s">
        <v>7</v>
      </c>
    </row>
    <row r="4" spans="1:4" x14ac:dyDescent="0.2">
      <c r="A4">
        <v>3</v>
      </c>
      <c r="B4">
        <v>3.5</v>
      </c>
      <c r="C4" s="1">
        <v>3.49</v>
      </c>
      <c r="D4" t="s">
        <v>8</v>
      </c>
    </row>
    <row r="5" spans="1:4" x14ac:dyDescent="0.2">
      <c r="A5">
        <v>4</v>
      </c>
      <c r="B5">
        <v>4.5</v>
      </c>
      <c r="C5" s="1">
        <v>4.49</v>
      </c>
      <c r="D5" t="s">
        <v>10</v>
      </c>
    </row>
    <row r="6" spans="1:4" x14ac:dyDescent="0.2">
      <c r="A6">
        <v>5</v>
      </c>
      <c r="B6">
        <v>5</v>
      </c>
      <c r="C6" s="1">
        <v>5</v>
      </c>
      <c r="D6" t="s">
        <v>11</v>
      </c>
    </row>
    <row r="37" spans="11:11" x14ac:dyDescent="0.2">
      <c r="K37" s="50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topLeftCell="A42" workbookViewId="0">
      <selection activeCell="B47" sqref="B47"/>
    </sheetView>
  </sheetViews>
  <sheetFormatPr baseColWidth="10" defaultRowHeight="12.75" x14ac:dyDescent="0.2"/>
  <cols>
    <col min="1" max="1" width="8.42578125" customWidth="1"/>
    <col min="2" max="2" width="74.7109375" bestFit="1" customWidth="1"/>
    <col min="3" max="3" width="13" bestFit="1" customWidth="1"/>
    <col min="4" max="4" width="24.85546875" bestFit="1" customWidth="1"/>
  </cols>
  <sheetData>
    <row r="1" spans="1:4" x14ac:dyDescent="0.2">
      <c r="A1" s="2" t="s">
        <v>14</v>
      </c>
      <c r="B1" s="2" t="s">
        <v>9</v>
      </c>
      <c r="C1" s="2" t="s">
        <v>16</v>
      </c>
      <c r="D1" s="2" t="s">
        <v>133</v>
      </c>
    </row>
    <row r="2" spans="1:4" x14ac:dyDescent="0.2">
      <c r="A2">
        <v>1</v>
      </c>
      <c r="B2" t="s">
        <v>377</v>
      </c>
      <c r="C2" s="1">
        <v>0.9</v>
      </c>
      <c r="D2" s="1">
        <v>0.9</v>
      </c>
    </row>
    <row r="3" spans="1:4" ht="25.5" x14ac:dyDescent="0.2">
      <c r="A3">
        <v>2</v>
      </c>
      <c r="B3" s="25" t="s">
        <v>421</v>
      </c>
      <c r="C3" s="1">
        <v>0.7</v>
      </c>
      <c r="D3" s="1">
        <v>0.7</v>
      </c>
    </row>
    <row r="4" spans="1:4" x14ac:dyDescent="0.2">
      <c r="A4">
        <v>3</v>
      </c>
      <c r="B4" s="16" t="s">
        <v>422</v>
      </c>
      <c r="C4" s="1">
        <v>0.5</v>
      </c>
      <c r="D4" s="1">
        <v>0.5</v>
      </c>
    </row>
    <row r="5" spans="1:4" x14ac:dyDescent="0.2">
      <c r="A5">
        <v>4</v>
      </c>
      <c r="B5" s="16" t="s">
        <v>423</v>
      </c>
      <c r="C5" s="1">
        <v>0.25</v>
      </c>
      <c r="D5" s="1">
        <v>0.25</v>
      </c>
    </row>
    <row r="6" spans="1:4" x14ac:dyDescent="0.2">
      <c r="A6">
        <v>5</v>
      </c>
      <c r="B6" s="16" t="s">
        <v>424</v>
      </c>
      <c r="C6" s="1">
        <v>0</v>
      </c>
      <c r="D6" s="1">
        <v>0</v>
      </c>
    </row>
    <row r="7" spans="1:4" x14ac:dyDescent="0.2">
      <c r="B7" s="16"/>
    </row>
    <row r="8" spans="1:4" x14ac:dyDescent="0.2">
      <c r="B8" s="28" t="s">
        <v>191</v>
      </c>
    </row>
    <row r="36" spans="11:11" x14ac:dyDescent="0.2">
      <c r="K36" s="50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workbookViewId="0">
      <selection activeCell="B11" sqref="B11"/>
    </sheetView>
  </sheetViews>
  <sheetFormatPr baseColWidth="10" defaultRowHeight="12.75" x14ac:dyDescent="0.2"/>
  <cols>
    <col min="1" max="1" width="6.85546875" bestFit="1" customWidth="1"/>
    <col min="2" max="2" width="82.7109375" bestFit="1" customWidth="1"/>
    <col min="3" max="3" width="19" bestFit="1" customWidth="1"/>
    <col min="4" max="4" width="27" bestFit="1" customWidth="1"/>
  </cols>
  <sheetData>
    <row r="1" spans="1:4" x14ac:dyDescent="0.2">
      <c r="A1" s="2" t="s">
        <v>14</v>
      </c>
      <c r="B1" s="2" t="s">
        <v>9</v>
      </c>
      <c r="C1" s="2" t="s">
        <v>130</v>
      </c>
      <c r="D1" s="2"/>
    </row>
    <row r="2" spans="1:4" x14ac:dyDescent="0.2">
      <c r="A2">
        <v>1</v>
      </c>
      <c r="B2" s="25" t="s">
        <v>431</v>
      </c>
      <c r="C2">
        <v>100</v>
      </c>
    </row>
    <row r="3" spans="1:4" x14ac:dyDescent="0.2">
      <c r="A3">
        <v>2</v>
      </c>
      <c r="B3" s="25" t="s">
        <v>432</v>
      </c>
      <c r="C3">
        <v>50</v>
      </c>
    </row>
    <row r="4" spans="1:4" x14ac:dyDescent="0.2">
      <c r="A4">
        <v>3</v>
      </c>
      <c r="B4" s="25" t="s">
        <v>433</v>
      </c>
      <c r="C4">
        <v>33</v>
      </c>
    </row>
    <row r="5" spans="1:4" x14ac:dyDescent="0.2">
      <c r="A5">
        <v>4</v>
      </c>
      <c r="B5" s="25" t="s">
        <v>434</v>
      </c>
      <c r="C5">
        <v>17</v>
      </c>
    </row>
    <row r="6" spans="1:4" x14ac:dyDescent="0.2">
      <c r="A6">
        <v>5</v>
      </c>
      <c r="B6" s="25" t="s">
        <v>435</v>
      </c>
      <c r="C6">
        <v>0</v>
      </c>
    </row>
    <row r="8" spans="1:4" x14ac:dyDescent="0.2">
      <c r="B8" s="28" t="s">
        <v>425</v>
      </c>
    </row>
    <row r="9" spans="1:4" x14ac:dyDescent="0.2">
      <c r="B9" s="16"/>
    </row>
    <row r="10" spans="1:4" x14ac:dyDescent="0.2">
      <c r="A10">
        <v>500</v>
      </c>
      <c r="B10" s="16" t="s">
        <v>441</v>
      </c>
    </row>
    <row r="12" spans="1:4" x14ac:dyDescent="0.2">
      <c r="A12" s="1">
        <v>0.65</v>
      </c>
      <c r="B12" s="16" t="s">
        <v>415</v>
      </c>
    </row>
    <row r="13" spans="1:4" x14ac:dyDescent="0.2">
      <c r="B13" s="16"/>
    </row>
    <row r="39" spans="11:11" x14ac:dyDescent="0.2">
      <c r="K39" s="50"/>
    </row>
  </sheetData>
  <sheetProtection password="9E3E" sheet="1" selectLockedCell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workbookViewId="0">
      <selection activeCell="A10" sqref="A10"/>
    </sheetView>
  </sheetViews>
  <sheetFormatPr baseColWidth="10" defaultRowHeight="12.75" x14ac:dyDescent="0.2"/>
  <cols>
    <col min="2" max="2" width="82.7109375" customWidth="1"/>
  </cols>
  <sheetData>
    <row r="1" spans="1:4" x14ac:dyDescent="0.2">
      <c r="A1" s="2" t="s">
        <v>14</v>
      </c>
      <c r="B1" s="2" t="s">
        <v>9</v>
      </c>
      <c r="C1" s="2" t="s">
        <v>130</v>
      </c>
      <c r="D1" s="2"/>
    </row>
    <row r="2" spans="1:4" x14ac:dyDescent="0.2">
      <c r="A2">
        <v>1</v>
      </c>
      <c r="B2" s="25" t="s">
        <v>426</v>
      </c>
      <c r="C2">
        <v>100</v>
      </c>
    </row>
    <row r="3" spans="1:4" x14ac:dyDescent="0.2">
      <c r="A3">
        <v>2</v>
      </c>
      <c r="B3" s="25" t="s">
        <v>427</v>
      </c>
      <c r="C3">
        <v>50</v>
      </c>
    </row>
    <row r="4" spans="1:4" x14ac:dyDescent="0.2">
      <c r="A4">
        <v>3</v>
      </c>
      <c r="B4" s="25" t="s">
        <v>428</v>
      </c>
      <c r="C4">
        <v>33</v>
      </c>
    </row>
    <row r="5" spans="1:4" x14ac:dyDescent="0.2">
      <c r="A5">
        <v>4</v>
      </c>
      <c r="B5" s="25" t="s">
        <v>429</v>
      </c>
      <c r="C5">
        <v>17</v>
      </c>
    </row>
    <row r="6" spans="1:4" x14ac:dyDescent="0.2">
      <c r="A6">
        <v>5</v>
      </c>
      <c r="B6" s="25" t="s">
        <v>430</v>
      </c>
      <c r="C6">
        <v>0</v>
      </c>
    </row>
    <row r="8" spans="1:4" x14ac:dyDescent="0.2">
      <c r="B8" s="28" t="s">
        <v>425</v>
      </c>
    </row>
    <row r="9" spans="1:4" x14ac:dyDescent="0.2">
      <c r="B9" s="28"/>
    </row>
    <row r="10" spans="1:4" x14ac:dyDescent="0.2">
      <c r="A10">
        <v>500</v>
      </c>
      <c r="B10" s="16" t="s">
        <v>441</v>
      </c>
    </row>
    <row r="12" spans="1:4" x14ac:dyDescent="0.2">
      <c r="A12" s="1">
        <v>0.65</v>
      </c>
      <c r="B12" s="16" t="s">
        <v>415</v>
      </c>
    </row>
    <row r="39" spans="11:11" x14ac:dyDescent="0.2">
      <c r="K39" s="50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activeCell="A3" sqref="A3"/>
    </sheetView>
  </sheetViews>
  <sheetFormatPr baseColWidth="10" defaultRowHeight="12.75" x14ac:dyDescent="0.2"/>
  <cols>
    <col min="1" max="1" width="6.85546875" bestFit="1" customWidth="1"/>
    <col min="2" max="2" width="72" customWidth="1"/>
    <col min="3" max="3" width="13" bestFit="1" customWidth="1"/>
  </cols>
  <sheetData>
    <row r="1" spans="1:4" x14ac:dyDescent="0.2">
      <c r="A1" s="2" t="s">
        <v>14</v>
      </c>
      <c r="B1" s="2" t="s">
        <v>9</v>
      </c>
      <c r="C1" s="2"/>
      <c r="D1" s="2"/>
    </row>
    <row r="2" spans="1:4" ht="26.1" customHeight="1" x14ac:dyDescent="0.2">
      <c r="A2">
        <v>1</v>
      </c>
      <c r="B2" s="25" t="s">
        <v>401</v>
      </c>
      <c r="C2" s="1"/>
    </row>
    <row r="3" spans="1:4" ht="26.1" customHeight="1" x14ac:dyDescent="0.2">
      <c r="A3">
        <v>2</v>
      </c>
      <c r="B3" s="25" t="s">
        <v>402</v>
      </c>
      <c r="C3" s="1"/>
    </row>
    <row r="4" spans="1:4" ht="26.1" customHeight="1" x14ac:dyDescent="0.2">
      <c r="A4">
        <v>3</v>
      </c>
      <c r="B4" s="25" t="s">
        <v>400</v>
      </c>
      <c r="C4" s="1"/>
    </row>
    <row r="5" spans="1:4" ht="26.1" customHeight="1" x14ac:dyDescent="0.2">
      <c r="A5">
        <v>4</v>
      </c>
      <c r="B5" s="25" t="s">
        <v>400</v>
      </c>
      <c r="C5" s="1"/>
    </row>
    <row r="6" spans="1:4" ht="26.1" customHeight="1" x14ac:dyDescent="0.2">
      <c r="A6">
        <v>5</v>
      </c>
      <c r="B6" s="25" t="s">
        <v>400</v>
      </c>
      <c r="C6" s="1"/>
    </row>
    <row r="37" spans="11:11" x14ac:dyDescent="0.2">
      <c r="K37" s="50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workbookViewId="0">
      <selection activeCell="B15" sqref="B15"/>
    </sheetView>
  </sheetViews>
  <sheetFormatPr baseColWidth="10" defaultRowHeight="12.75" x14ac:dyDescent="0.2"/>
  <cols>
    <col min="1" max="1" width="6.85546875" bestFit="1" customWidth="1"/>
    <col min="2" max="2" width="69.7109375" bestFit="1" customWidth="1"/>
    <col min="3" max="3" width="13" bestFit="1" customWidth="1"/>
  </cols>
  <sheetData>
    <row r="1" spans="1:4" x14ac:dyDescent="0.2">
      <c r="A1" s="2" t="s">
        <v>14</v>
      </c>
      <c r="B1" s="2" t="s">
        <v>9</v>
      </c>
      <c r="C1" s="2" t="s">
        <v>15</v>
      </c>
      <c r="D1" s="2"/>
    </row>
    <row r="2" spans="1:4" x14ac:dyDescent="0.2">
      <c r="A2">
        <v>1</v>
      </c>
      <c r="B2" s="25" t="s">
        <v>403</v>
      </c>
      <c r="C2" s="1"/>
    </row>
    <row r="3" spans="1:4" ht="38.25" customHeight="1" x14ac:dyDescent="0.2">
      <c r="A3">
        <v>2</v>
      </c>
      <c r="B3" s="25" t="s">
        <v>404</v>
      </c>
      <c r="C3" s="1">
        <v>0.95</v>
      </c>
    </row>
    <row r="4" spans="1:4" ht="38.25" customHeight="1" x14ac:dyDescent="0.2">
      <c r="A4">
        <v>3</v>
      </c>
      <c r="B4" s="25" t="s">
        <v>405</v>
      </c>
      <c r="C4" s="1">
        <v>0.85</v>
      </c>
    </row>
    <row r="5" spans="1:4" ht="38.25" customHeight="1" x14ac:dyDescent="0.2">
      <c r="A5">
        <v>4</v>
      </c>
      <c r="B5" s="25" t="s">
        <v>406</v>
      </c>
      <c r="C5" s="1">
        <v>0.75</v>
      </c>
    </row>
    <row r="6" spans="1:4" ht="38.25" customHeight="1" x14ac:dyDescent="0.2">
      <c r="A6">
        <v>5</v>
      </c>
      <c r="B6" s="25" t="s">
        <v>407</v>
      </c>
      <c r="C6" s="149" t="s">
        <v>438</v>
      </c>
    </row>
    <row r="37" spans="11:11" x14ac:dyDescent="0.2">
      <c r="K37" s="50"/>
    </row>
  </sheetData>
  <sheetProtection password="9E3E" sheet="1" objects="1" scenario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workbookViewId="0">
      <selection activeCell="B14" sqref="B14:B15"/>
    </sheetView>
  </sheetViews>
  <sheetFormatPr baseColWidth="10" defaultRowHeight="12.75" x14ac:dyDescent="0.2"/>
  <cols>
    <col min="1" max="1" width="32.85546875" bestFit="1" customWidth="1"/>
    <col min="2" max="2" width="55.28515625" customWidth="1"/>
    <col min="3" max="3" width="13.85546875" bestFit="1" customWidth="1"/>
    <col min="4" max="4" width="48.28515625" customWidth="1"/>
    <col min="5" max="5" width="69.140625" customWidth="1"/>
  </cols>
  <sheetData>
    <row r="1" spans="1:5" ht="39.75" customHeight="1" x14ac:dyDescent="0.2">
      <c r="A1" s="11" t="s">
        <v>161</v>
      </c>
      <c r="B1" s="11" t="s">
        <v>409</v>
      </c>
      <c r="C1" s="2" t="s">
        <v>126</v>
      </c>
      <c r="D1" s="2" t="s">
        <v>176</v>
      </c>
    </row>
    <row r="2" spans="1:5" x14ac:dyDescent="0.2">
      <c r="A2" s="279" t="s">
        <v>31</v>
      </c>
      <c r="B2" s="279" t="s">
        <v>156</v>
      </c>
      <c r="C2" s="279" t="s">
        <v>127</v>
      </c>
      <c r="D2" s="278" t="s">
        <v>183</v>
      </c>
    </row>
    <row r="3" spans="1:5" x14ac:dyDescent="0.2">
      <c r="A3" s="279"/>
      <c r="B3" s="279"/>
      <c r="C3" s="279"/>
      <c r="D3" s="279"/>
    </row>
    <row r="4" spans="1:5" ht="25.5" customHeight="1" x14ac:dyDescent="0.2">
      <c r="A4" s="279"/>
      <c r="B4" s="279" t="s">
        <v>153</v>
      </c>
      <c r="C4" s="279" t="s">
        <v>128</v>
      </c>
      <c r="D4" s="279"/>
    </row>
    <row r="5" spans="1:5" ht="25.5" customHeight="1" x14ac:dyDescent="0.2">
      <c r="A5" s="279"/>
      <c r="B5" s="279"/>
      <c r="C5" s="279"/>
      <c r="D5" s="279"/>
    </row>
    <row r="6" spans="1:5" ht="25.5" customHeight="1" x14ac:dyDescent="0.2">
      <c r="A6" s="279"/>
      <c r="B6" s="279"/>
      <c r="C6" s="279"/>
      <c r="D6" s="279"/>
    </row>
    <row r="8" spans="1:5" x14ac:dyDescent="0.2">
      <c r="A8" s="279" t="s">
        <v>154</v>
      </c>
      <c r="B8" s="279" t="s">
        <v>155</v>
      </c>
      <c r="C8" s="279" t="s">
        <v>127</v>
      </c>
      <c r="D8" s="278" t="s">
        <v>370</v>
      </c>
      <c r="E8" s="16"/>
    </row>
    <row r="9" spans="1:5" x14ac:dyDescent="0.2">
      <c r="A9" s="279"/>
      <c r="B9" s="279"/>
      <c r="C9" s="279"/>
      <c r="D9" s="279"/>
    </row>
    <row r="10" spans="1:5" x14ac:dyDescent="0.2">
      <c r="A10" s="279"/>
      <c r="B10" s="279" t="s">
        <v>153</v>
      </c>
      <c r="C10" s="279" t="s">
        <v>128</v>
      </c>
      <c r="D10" s="279"/>
    </row>
    <row r="11" spans="1:5" x14ac:dyDescent="0.2">
      <c r="A11" s="279"/>
      <c r="B11" s="279"/>
      <c r="C11" s="279"/>
      <c r="D11" s="279"/>
    </row>
    <row r="12" spans="1:5" x14ac:dyDescent="0.2">
      <c r="A12" s="279"/>
      <c r="B12" s="279"/>
      <c r="C12" s="279"/>
      <c r="D12" s="279"/>
    </row>
    <row r="14" spans="1:5" ht="13.15" customHeight="1" x14ac:dyDescent="0.2">
      <c r="A14" s="279" t="s">
        <v>32</v>
      </c>
      <c r="B14" s="278" t="s">
        <v>356</v>
      </c>
      <c r="C14" s="279" t="s">
        <v>127</v>
      </c>
      <c r="D14" s="278" t="s">
        <v>357</v>
      </c>
    </row>
    <row r="15" spans="1:5" ht="117.6" customHeight="1" x14ac:dyDescent="0.2">
      <c r="A15" s="279"/>
      <c r="B15" s="279"/>
      <c r="C15" s="279"/>
      <c r="D15" s="278"/>
      <c r="E15" s="25"/>
    </row>
    <row r="16" spans="1:5" x14ac:dyDescent="0.2">
      <c r="A16" s="279"/>
      <c r="B16" s="279" t="s">
        <v>157</v>
      </c>
      <c r="C16" s="279" t="s">
        <v>128</v>
      </c>
      <c r="D16" s="278"/>
    </row>
    <row r="17" spans="1:11" x14ac:dyDescent="0.2">
      <c r="A17" s="279"/>
      <c r="B17" s="279"/>
      <c r="C17" s="279"/>
      <c r="D17" s="278"/>
    </row>
    <row r="18" spans="1:11" x14ac:dyDescent="0.2">
      <c r="A18" s="279"/>
      <c r="B18" s="279"/>
      <c r="C18" s="279"/>
      <c r="D18" s="278"/>
    </row>
    <row r="20" spans="1:11" ht="26.45" customHeight="1" x14ac:dyDescent="0.2">
      <c r="A20" s="280" t="s">
        <v>408</v>
      </c>
      <c r="B20" s="280"/>
      <c r="C20" s="280"/>
      <c r="D20" s="280"/>
    </row>
    <row r="30" spans="1:11" x14ac:dyDescent="0.2">
      <c r="K30">
        <v>1</v>
      </c>
    </row>
    <row r="31" spans="1:11" x14ac:dyDescent="0.2">
      <c r="K31">
        <v>1</v>
      </c>
    </row>
    <row r="32" spans="1:11" x14ac:dyDescent="0.2">
      <c r="K32">
        <v>3</v>
      </c>
    </row>
    <row r="37" spans="11:11" x14ac:dyDescent="0.2">
      <c r="K37" s="50">
        <f>MEDIAN(K30:K33)</f>
        <v>1</v>
      </c>
    </row>
  </sheetData>
  <sheetProtection password="9E3E" sheet="1" objects="1" scenarios="1"/>
  <mergeCells count="19">
    <mergeCell ref="A2:A6"/>
    <mergeCell ref="A20:D20"/>
    <mergeCell ref="A8:A12"/>
    <mergeCell ref="B2:B3"/>
    <mergeCell ref="B4:B6"/>
    <mergeCell ref="B8:B9"/>
    <mergeCell ref="C8:C9"/>
    <mergeCell ref="B10:B12"/>
    <mergeCell ref="C10:C12"/>
    <mergeCell ref="D2:D6"/>
    <mergeCell ref="D8:D12"/>
    <mergeCell ref="D14:D18"/>
    <mergeCell ref="A14:A18"/>
    <mergeCell ref="B14:B15"/>
    <mergeCell ref="C14:C15"/>
    <mergeCell ref="B16:B18"/>
    <mergeCell ref="C16:C18"/>
    <mergeCell ref="C2:C3"/>
    <mergeCell ref="C4:C6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16</vt:i4>
      </vt:variant>
    </vt:vector>
  </HeadingPairs>
  <TitlesOfParts>
    <vt:vector size="28" baseType="lpstr">
      <vt:lpstr>EINGABE</vt:lpstr>
      <vt:lpstr>ANLAGE &amp; BEWERTUNG</vt:lpstr>
      <vt:lpstr>Klassengrenzen</vt:lpstr>
      <vt:lpstr>Qualitativ</vt:lpstr>
      <vt:lpstr>Quantitativ KS</vt:lpstr>
      <vt:lpstr>Quantitativ MS</vt:lpstr>
      <vt:lpstr>Größenbestimmende Fischart</vt:lpstr>
      <vt:lpstr>Größenselektivität</vt:lpstr>
      <vt:lpstr>Indikatorgruppen</vt:lpstr>
      <vt:lpstr>FFH</vt:lpstr>
      <vt:lpstr>Auswahllisten</vt:lpstr>
      <vt:lpstr>Gilden</vt:lpstr>
      <vt:lpstr>Bautyp_FMH</vt:lpstr>
      <vt:lpstr>erfüllt</vt:lpstr>
      <vt:lpstr>Fischart</vt:lpstr>
      <vt:lpstr>Fischpopulation</vt:lpstr>
      <vt:lpstr>Fischregion</vt:lpstr>
      <vt:lpstr>GBFA</vt:lpstr>
      <vt:lpstr>gering</vt:lpstr>
      <vt:lpstr>Größenbestimmende_Fischart</vt:lpstr>
      <vt:lpstr>janein</vt:lpstr>
      <vt:lpstr>Kurzstreckenwanderer</vt:lpstr>
      <vt:lpstr>Leitbild</vt:lpstr>
      <vt:lpstr>Methode</vt:lpstr>
      <vt:lpstr>Mittelstreckenwanderer</vt:lpstr>
      <vt:lpstr>nein</vt:lpstr>
      <vt:lpstr>quantitativ_erfüllt</vt:lpstr>
      <vt:lpstr>Vorkommen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Clemens Ratschan</cp:lastModifiedBy>
  <cp:lastPrinted>2018-03-06T11:06:40Z</cp:lastPrinted>
  <dcterms:created xsi:type="dcterms:W3CDTF">1996-10-17T05:27:31Z</dcterms:created>
  <dcterms:modified xsi:type="dcterms:W3CDTF">2026-01-27T17:58:09Z</dcterms:modified>
</cp:coreProperties>
</file>